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4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Лист3" sheetId="6" r:id="rId6"/>
  </sheets>
  <definedNames>
    <definedName name="_xlnm.Print_Area" localSheetId="2">'2013'!$A$1:$BK$9</definedName>
    <definedName name="_xlnm.Print_Area" localSheetId="3">'2014'!$A$1:$BC$9</definedName>
    <definedName name="_xlnm.Print_Area" localSheetId="4">'2015'!$A$1:$BC$9</definedName>
  </definedNames>
  <calcPr fullCalcOnLoad="1"/>
</workbook>
</file>

<file path=xl/sharedStrings.xml><?xml version="1.0" encoding="utf-8"?>
<sst xmlns="http://schemas.openxmlformats.org/spreadsheetml/2006/main" count="639" uniqueCount="83">
  <si>
    <t>Муниципальное образование</t>
  </si>
  <si>
    <t>Сумма баллов</t>
  </si>
  <si>
    <t>Итоговое место</t>
  </si>
  <si>
    <t>Расчет целевого значения индикатора</t>
  </si>
  <si>
    <t>Предельное значение индикатора</t>
  </si>
  <si>
    <t>≤0</t>
  </si>
  <si>
    <t>Администрация района</t>
  </si>
  <si>
    <t>Управление образования</t>
  </si>
  <si>
    <t>Управление культуры</t>
  </si>
  <si>
    <t>Финансовое управление</t>
  </si>
  <si>
    <t>Отдел по имуществу</t>
  </si>
  <si>
    <t xml:space="preserve">1.1.Планирование бюджетных ассигнований на  содержание  подведомственных
учреждений в рамках целевых программ
</t>
  </si>
  <si>
    <t xml:space="preserve">1.2.Планирование бюджетных ассигнований на предоставление  муниципальных
услуг в соответствии с муниципальным заданием
</t>
  </si>
  <si>
    <t>2.1. Внесение  изменений  в  бюджетную  роспись  ГРБС в части перераспределения  бюджетных  ассигнований между подведомственными получател</t>
  </si>
  <si>
    <t xml:space="preserve">3.1.Отклонения  фактически  поступивших  доходов  в  бюджет  района   от
прогнозируемых объемов поступлений, администрируемых учреждением    
</t>
  </si>
  <si>
    <t xml:space="preserve">4.1.Выполнение муниципального задания на оказание муниципальных услуг (в
количественном выражении)
</t>
  </si>
  <si>
    <t xml:space="preserve">4.2. Отклонение   кассовых   расходов    от    бюджетных    ассигнований,
установленных бюджетной росписью соответствующему ГРБС на реализацию
муниципальных целевых программ
</t>
  </si>
  <si>
    <t xml:space="preserve">4.3. Отклонение   кассовых   расходов    от    бюджетных    ассигнований,
установленных  бюджетной  росписью  соответствующему  ГРБС  за  счет
целевых  безвозмездных  поступлений  (субвенций,  субсидий  и   иных
межбюджетных трансфертов
</t>
  </si>
  <si>
    <t xml:space="preserve">4.4.Наличие   фактов   отказа   в   санкционировании   оплаты   денежных
обязательств 
</t>
  </si>
  <si>
    <r>
      <t xml:space="preserve">5.2. Своевременность представления в Финансовое управление  Верхнекамского района бюджетной отчетности                                                            </t>
    </r>
    <r>
      <rPr>
        <b/>
        <sz val="8"/>
        <rFont val="Times New Roman"/>
        <family val="1"/>
      </rPr>
      <t>за отчетный период</t>
    </r>
  </si>
  <si>
    <t xml:space="preserve">5.3.Качество составления бюджетной отчетности                           </t>
  </si>
  <si>
    <t xml:space="preserve">6.1. Наличие фактов нецелевого использования бюджетных средств           </t>
  </si>
  <si>
    <t xml:space="preserve">6.2. Наличие фактов неэффективного использования денежных и  материальных
ресурсов 
</t>
  </si>
  <si>
    <t xml:space="preserve">6.3.Наличие фактов неправомерного использования бюджетных средств       </t>
  </si>
  <si>
    <t>SUM БА- Общий объем бюджетных ассигнований</t>
  </si>
  <si>
    <t>Ув - общее количество уведомлений по соответствующему ГРБС за год</t>
  </si>
  <si>
    <t>Кпбс- количество получателей бюджетных средств</t>
  </si>
  <si>
    <t>Дn- уточненные прогнозируемые объемы налоговых и неналоговых доходов, администрируемых администратором доходов в соответствии с решением о бюджете</t>
  </si>
  <si>
    <t>Дф- фактически поступившие объемы налоговых и неналоговых доходов, администрируемых администратором доходов за отчетный год</t>
  </si>
  <si>
    <t>SUM Мз ф - сумма фактического объема оказанных муниципальных услуг</t>
  </si>
  <si>
    <t>SUM Мз n - сумма ниципального задания на оказание услуг, установленного постановлением администрации района</t>
  </si>
  <si>
    <t>SUM МЦП- сумма МЦП фактическая</t>
  </si>
  <si>
    <t>SUM МЦП- сумма бюджетных ассигнований по МЦП</t>
  </si>
  <si>
    <t>SUM ЦР n- бюджетные ассигнования за счет целевых МБТ</t>
  </si>
  <si>
    <t>SUM ЦР ф - кассовые расходы за счет целевых МБТ</t>
  </si>
  <si>
    <t xml:space="preserve">  количество фактов   отказа   в   санкционировании   оплаты   денежных обязательств</t>
  </si>
  <si>
    <t xml:space="preserve">5.1.Наличие  необоснованной  дебиторской  задолженности  по  результатам
проведенных проверок  
</t>
  </si>
  <si>
    <t>Наличие  необоснованной  дебиторской  задолженности  по  результатам проведенных проверок</t>
  </si>
  <si>
    <t>Наличие  фактов представления в Финансовое управление  Верхнекамского района бюджетной отчетности с нарушением установленнного порядка ее составления и представления, установленных в отчетном году</t>
  </si>
  <si>
    <t>Наличие  фактов представления в Финансовое управление  Верхнекамского района бюджетной отчетности с нарушением сроков</t>
  </si>
  <si>
    <t>Наличие  фактов нецелевого расходования бюджетных средств у ГРБС с учетом подведомственных учреждений, установленных в отчетном году</t>
  </si>
  <si>
    <t>Наличие  фактов нецелевого расходования неэффективного использования денежных и  материальных
ресурсов  у ГРБС с учетом подведомственных учреждений, установленных в отчетном году</t>
  </si>
  <si>
    <t>Наличие  фактов нецелевого расходования неправомерного использования бюджетных средств у ГРБС с учетом подведомственных учреждений, установленных в отчетном году</t>
  </si>
  <si>
    <t>Мониторинг ОЦЕНКИ
КАЧЕСТВА УПРАВЛЕНИЯ ФИНАНСАМИ ГЛАВНЫХ РАСПОРЯДИТЕЛЕЙ
БЮДЖЕТНЫХ СРЕДСТВ БЮДЖЕТА ВЕРХНЕКАМСКОГО РАЙОНА
 за 2011</t>
  </si>
  <si>
    <t>Районная Дума</t>
  </si>
  <si>
    <t>ЦРБ</t>
  </si>
  <si>
    <t>ВСЕГО</t>
  </si>
  <si>
    <t>Лесное</t>
  </si>
  <si>
    <t>АДМ .ц.с.204 и 208</t>
  </si>
  <si>
    <t>КДН</t>
  </si>
  <si>
    <t>с\х</t>
  </si>
  <si>
    <t>Пер. план</t>
  </si>
  <si>
    <t>ДУМА р.0102 и р.0103 ц.с 204 и 212</t>
  </si>
  <si>
    <t>РУО и Культура первонач общие ассиг.</t>
  </si>
  <si>
    <t>SUM МЦП- сумма МЦП первонач. без обл средств</t>
  </si>
  <si>
    <t>SUM БА- Общий объем бюджетных ассигнований первонач.</t>
  </si>
  <si>
    <t>SUM МЗ - объем ассигнований в соответствии с муниципальным заданием без МЦП и МБТ</t>
  </si>
  <si>
    <t>в фин упр. +дот.сбал</t>
  </si>
  <si>
    <t>в культ. + Лесн. Полн.</t>
  </si>
  <si>
    <t>SUM МБТ- суммабюджетных ассигнований, предусмотренных первонач. ГРБС по межбюджетным трансфертам + полномочия поселений</t>
  </si>
  <si>
    <t xml:space="preserve">Бальная оценка       </t>
  </si>
  <si>
    <t>Сумма ассигнований первоначальных, на которые мун зад. не доводится</t>
  </si>
  <si>
    <t>SUM   ВЦП   -    объем    бюджетных ассигнований              по ВЦП</t>
  </si>
  <si>
    <t>SUM МЦП- сумма бюджетных ассигнований МЦП</t>
  </si>
  <si>
    <t>Мониторинг ОЦЕНКИ
КАЧЕСТВА УПРАВЛЕНИЯ ФИНАНСАМИ ГЛАВНЫХ РАСПОРЯДИТЕЛЕЙ
БЮДЖЕТНЫХ СРЕДСТВ БЮДЖЕТА ВЕРХНЕКАМСКОГО РАЙОНА
 за 2012</t>
  </si>
  <si>
    <r>
      <t xml:space="preserve">SUM Мз ф - </t>
    </r>
    <r>
      <rPr>
        <b/>
        <sz val="8"/>
        <rFont val="Times New Roman"/>
        <family val="1"/>
      </rPr>
      <t>сумма</t>
    </r>
    <r>
      <rPr>
        <sz val="8"/>
        <rFont val="Times New Roman"/>
        <family val="1"/>
      </rPr>
      <t xml:space="preserve"> фактического объема оказанных муниципальных услуг</t>
    </r>
  </si>
  <si>
    <r>
      <t xml:space="preserve">SUM Мз n - </t>
    </r>
    <r>
      <rPr>
        <b/>
        <sz val="8"/>
        <rFont val="Times New Roman"/>
        <family val="1"/>
      </rPr>
      <t>сумма</t>
    </r>
    <r>
      <rPr>
        <sz val="8"/>
        <rFont val="Times New Roman"/>
        <family val="1"/>
      </rPr>
      <t xml:space="preserve"> ниципального задания на оказание услуг, установленного постановлением администрации района</t>
    </r>
  </si>
  <si>
    <t>пишем сумма</t>
  </si>
  <si>
    <t>анализируем кол-во</t>
  </si>
  <si>
    <t>л\с 0 , 4</t>
  </si>
  <si>
    <t>без вырав-я л\с 0,4</t>
  </si>
  <si>
    <t>Мониторинг ОЦЕНКИ
КАЧЕСТВА УПРАВЛЕНИЯ ФИНАНСАМИ ГЛАВНЫХ РАСПОРЯДИТЕЛЕЙ
БЮДЖЕТНЫХ СРЕДСТВ БЮДЖЕТА ВЕРХНЕКАМСКОГО РАЙОНА
 за 2013</t>
  </si>
  <si>
    <t>в фин упр. +дот.сбал, а выр надо плюс?</t>
  </si>
  <si>
    <t>без вырав-я и без 597Указа л\с 0,4</t>
  </si>
  <si>
    <t>Мониторинг ОЦЕНКИ
КАЧЕСТВА УПРАВЛЕНИЯ ФИНАНСАМИ ГЛАВНЫХ РАСПОРЯДИТЕЛЕЙ
БЮДЖЕТНЫХ СРЕДСТВ БЮДЖЕТА ВЕРХНЕКАМСКОГО РАЙОНА
 за 2014</t>
  </si>
  <si>
    <t>SUM МП- сумма бюджетных ассигнований МП</t>
  </si>
  <si>
    <t>SUM   ВП   -    объем    бюджетных ассигнований              по ВП</t>
  </si>
  <si>
    <r>
      <t xml:space="preserve">SUM Мз n - </t>
    </r>
    <r>
      <rPr>
        <b/>
        <sz val="8"/>
        <rFont val="Times New Roman"/>
        <family val="1"/>
      </rPr>
      <t>сумма</t>
    </r>
    <r>
      <rPr>
        <sz val="8"/>
        <rFont val="Times New Roman"/>
        <family val="1"/>
      </rPr>
      <t xml:space="preserve"> муниципального задания на оказание услуг, установленного постановлением администрации района</t>
    </r>
  </si>
  <si>
    <t xml:space="preserve">4.2. Отклонение   кассовых   расходов    от    бюджетных    ассигнований,
установленных бюджетной росписью соответствующему ГРБС на реализацию
муниципальных программ
</t>
  </si>
  <si>
    <t>SUM МП- сумма МП фактическая</t>
  </si>
  <si>
    <t>SUM МП- сумма бюджетных ассигнований по МП</t>
  </si>
  <si>
    <t>Мониторинг ОЦЕНКИ
КАЧЕСТВА УПРАВЛЕНИЯ ФИНАНСАМИ ГЛАВНЫХ РАСПОРЯДИТЕЛЕЙ
БЮДЖЕТНЫХ СРЕДСТВ БЮДЖЕТА ВЕРХНЕКАМСКОГО РАЙОНА
 за 2015</t>
  </si>
  <si>
    <t xml:space="preserve">1.1.Планирование бюджетных ассигнований на  содержание  подведомственных
учреждений в рамках программ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</si>
</sst>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  <numFmt numFmtId="174" formatCode="0.000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  <numFmt numFmtId="182" formatCode="0.000000"/>
  </numFmts>
  <fonts count="2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23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75" fontId="2" fillId="0" borderId="11" xfId="0" applyNumberFormat="1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4" fontId="2" fillId="4" borderId="10" xfId="0" applyNumberFormat="1" applyFont="1" applyFill="1" applyBorder="1" applyAlignment="1">
      <alignment horizontal="center"/>
    </xf>
    <xf numFmtId="173" fontId="2" fillId="4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182" fontId="2" fillId="0" borderId="10" xfId="0" applyNumberFormat="1" applyFont="1" applyFill="1" applyBorder="1" applyAlignment="1">
      <alignment horizontal="center"/>
    </xf>
    <xf numFmtId="172" fontId="1" fillId="25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74" fontId="4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4" fontId="2" fillId="3" borderId="1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center"/>
    </xf>
    <xf numFmtId="175" fontId="2" fillId="3" borderId="10" xfId="0" applyNumberFormat="1" applyFont="1" applyFill="1" applyBorder="1" applyAlignment="1">
      <alignment horizontal="center"/>
    </xf>
    <xf numFmtId="175" fontId="2" fillId="3" borderId="1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73" fontId="2" fillId="3" borderId="10" xfId="0" applyNumberFormat="1" applyFont="1" applyFill="1" applyBorder="1" applyAlignment="1">
      <alignment horizontal="center"/>
    </xf>
    <xf numFmtId="175" fontId="2" fillId="22" borderId="10" xfId="0" applyNumberFormat="1" applyFont="1" applyFill="1" applyBorder="1" applyAlignment="1">
      <alignment horizontal="center"/>
    </xf>
    <xf numFmtId="175" fontId="2" fillId="22" borderId="11" xfId="0" applyNumberFormat="1" applyFont="1" applyFill="1" applyBorder="1" applyAlignment="1">
      <alignment horizontal="center"/>
    </xf>
    <xf numFmtId="2" fontId="2" fillId="22" borderId="10" xfId="0" applyNumberFormat="1" applyFont="1" applyFill="1" applyBorder="1" applyAlignment="1">
      <alignment horizontal="center"/>
    </xf>
    <xf numFmtId="4" fontId="2" fillId="22" borderId="11" xfId="0" applyNumberFormat="1" applyFont="1" applyFill="1" applyBorder="1" applyAlignment="1">
      <alignment horizontal="center"/>
    </xf>
    <xf numFmtId="1" fontId="1" fillId="26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/>
    </xf>
    <xf numFmtId="2" fontId="2" fillId="25" borderId="10" xfId="0" applyNumberFormat="1" applyFont="1" applyFill="1" applyBorder="1" applyAlignment="1">
      <alignment horizontal="center"/>
    </xf>
    <xf numFmtId="4" fontId="1" fillId="25" borderId="10" xfId="0" applyNumberFormat="1" applyFont="1" applyFill="1" applyBorder="1" applyAlignment="1">
      <alignment horizontal="center"/>
    </xf>
    <xf numFmtId="175" fontId="2" fillId="25" borderId="10" xfId="0" applyNumberFormat="1" applyFont="1" applyFill="1" applyBorder="1" applyAlignment="1">
      <alignment horizontal="center"/>
    </xf>
    <xf numFmtId="175" fontId="2" fillId="25" borderId="11" xfId="0" applyNumberFormat="1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173" fontId="2" fillId="25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2" fontId="2" fillId="27" borderId="10" xfId="0" applyNumberFormat="1" applyFont="1" applyFill="1" applyBorder="1" applyAlignment="1">
      <alignment horizontal="center"/>
    </xf>
    <xf numFmtId="4" fontId="1" fillId="27" borderId="10" xfId="0" applyNumberFormat="1" applyFont="1" applyFill="1" applyBorder="1" applyAlignment="1">
      <alignment horizontal="center"/>
    </xf>
    <xf numFmtId="4" fontId="2" fillId="27" borderId="10" xfId="0" applyNumberFormat="1" applyFont="1" applyFill="1" applyBorder="1" applyAlignment="1">
      <alignment horizontal="center"/>
    </xf>
    <xf numFmtId="175" fontId="2" fillId="27" borderId="10" xfId="0" applyNumberFormat="1" applyFont="1" applyFill="1" applyBorder="1" applyAlignment="1">
      <alignment horizontal="center"/>
    </xf>
    <xf numFmtId="175" fontId="2" fillId="27" borderId="11" xfId="0" applyNumberFormat="1" applyFont="1" applyFill="1" applyBorder="1" applyAlignment="1">
      <alignment horizontal="center"/>
    </xf>
    <xf numFmtId="2" fontId="2" fillId="27" borderId="11" xfId="0" applyNumberFormat="1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173" fontId="2" fillId="27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10" fillId="0" borderId="0" xfId="52" applyNumberFormat="1" applyFont="1" applyFill="1" applyBorder="1" applyAlignment="1">
      <alignment horizontal="center" vertical="top" shrinkToFit="1"/>
      <protection/>
    </xf>
    <xf numFmtId="4" fontId="11" fillId="0" borderId="0" xfId="52" applyNumberFormat="1" applyFont="1" applyFill="1" applyBorder="1" applyAlignment="1">
      <alignment horizontal="right" vertical="top" shrinkToFit="1"/>
      <protection/>
    </xf>
    <xf numFmtId="2" fontId="2" fillId="0" borderId="11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8"/>
  <sheetViews>
    <sheetView zoomScalePageLayoutView="0" workbookViewId="0" topLeftCell="A1">
      <pane xSplit="1" ySplit="3" topLeftCell="W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7" sqref="W7"/>
    </sheetView>
  </sheetViews>
  <sheetFormatPr defaultColWidth="9.00390625" defaultRowHeight="12.75"/>
  <cols>
    <col min="1" max="1" width="29.125" style="11" customWidth="1"/>
    <col min="2" max="2" width="14.375" style="11" customWidth="1"/>
    <col min="3" max="3" width="11.00390625" style="11" customWidth="1"/>
    <col min="4" max="4" width="12.75390625" style="11" customWidth="1"/>
    <col min="5" max="5" width="13.125" style="11" customWidth="1"/>
    <col min="6" max="6" width="13.75390625" style="11" customWidth="1"/>
    <col min="7" max="7" width="10.625" style="6" customWidth="1"/>
    <col min="8" max="8" width="10.625" style="29" customWidth="1"/>
    <col min="9" max="9" width="13.75390625" style="32" customWidth="1"/>
    <col min="10" max="11" width="11.75390625" style="11" customWidth="1"/>
    <col min="12" max="12" width="12.625" style="11" customWidth="1"/>
    <col min="13" max="13" width="12.375" style="29" customWidth="1"/>
    <col min="14" max="14" width="12.375" style="30" customWidth="1"/>
    <col min="15" max="15" width="10.125" style="5" customWidth="1"/>
    <col min="16" max="17" width="10.125" style="32" customWidth="1"/>
    <col min="18" max="18" width="11.25390625" style="11" customWidth="1"/>
    <col min="19" max="19" width="12.375" style="11" customWidth="1"/>
    <col min="20" max="20" width="10.75390625" style="6" customWidth="1"/>
    <col min="21" max="21" width="9.625" style="29" customWidth="1"/>
    <col min="22" max="22" width="11.75390625" style="32" customWidth="1"/>
    <col min="23" max="23" width="12.125" style="11" customWidth="1"/>
    <col min="24" max="24" width="12.625" style="11" customWidth="1"/>
    <col min="25" max="25" width="9.00390625" style="6" customWidth="1"/>
    <col min="26" max="26" width="9.625" style="11" customWidth="1"/>
    <col min="27" max="27" width="12.375" style="6" customWidth="1"/>
    <col min="28" max="28" width="10.125" style="11" customWidth="1"/>
    <col min="29" max="29" width="12.375" style="33" customWidth="1"/>
    <col min="30" max="30" width="10.125" style="6" customWidth="1"/>
    <col min="31" max="31" width="10.125" style="9" customWidth="1"/>
    <col min="32" max="32" width="11.875" style="32" customWidth="1"/>
    <col min="33" max="33" width="12.00390625" style="11" customWidth="1"/>
    <col min="34" max="34" width="15.125" style="11" customWidth="1"/>
    <col min="35" max="35" width="9.125" style="9" customWidth="1"/>
    <col min="36" max="36" width="9.125" style="11" customWidth="1"/>
    <col min="37" max="37" width="11.25390625" style="11" customWidth="1"/>
    <col min="38" max="38" width="15.00390625" style="11" customWidth="1"/>
    <col min="39" max="39" width="12.75390625" style="11" customWidth="1"/>
    <col min="40" max="40" width="9.25390625" style="9" customWidth="1"/>
    <col min="41" max="42" width="10.875" style="32" customWidth="1"/>
    <col min="43" max="43" width="14.625" style="34" customWidth="1"/>
    <col min="44" max="44" width="10.625" style="11" customWidth="1"/>
    <col min="45" max="45" width="8.625" style="11" customWidth="1"/>
    <col min="46" max="47" width="9.125" style="11" customWidth="1"/>
    <col min="48" max="48" width="9.125" style="32" customWidth="1"/>
    <col min="49" max="49" width="14.875" style="11" customWidth="1"/>
    <col min="50" max="50" width="8.875" style="11" customWidth="1"/>
    <col min="51" max="51" width="9.125" style="29" customWidth="1"/>
    <col min="52" max="52" width="15.00390625" style="11" customWidth="1"/>
    <col min="53" max="53" width="9.625" style="6" customWidth="1"/>
    <col min="54" max="54" width="9.375" style="11" customWidth="1"/>
    <col min="55" max="55" width="11.00390625" style="11" customWidth="1"/>
    <col min="56" max="56" width="9.75390625" style="6" customWidth="1"/>
    <col min="57" max="57" width="9.25390625" style="32" customWidth="1"/>
    <col min="58" max="58" width="13.125" style="11" customWidth="1"/>
    <col min="59" max="59" width="10.25390625" style="6" customWidth="1"/>
    <col min="60" max="60" width="11.00390625" style="32" customWidth="1"/>
    <col min="61" max="61" width="12.125" style="11" customWidth="1"/>
    <col min="62" max="62" width="11.625" style="6" customWidth="1"/>
    <col min="63" max="16384" width="9.125" style="11" customWidth="1"/>
  </cols>
  <sheetData>
    <row r="1" spans="1:62" s="1" customFormat="1" ht="102" customHeight="1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5"/>
      <c r="P1" s="4"/>
      <c r="Q1" s="4"/>
      <c r="T1" s="6"/>
      <c r="U1" s="2"/>
      <c r="V1" s="4"/>
      <c r="Y1" s="3"/>
      <c r="AA1" s="3"/>
      <c r="AC1" s="7"/>
      <c r="AD1" s="3"/>
      <c r="AE1" s="8"/>
      <c r="AF1" s="4"/>
      <c r="AI1" s="8"/>
      <c r="AN1" s="9"/>
      <c r="AO1" s="4"/>
      <c r="AP1" s="4"/>
      <c r="AQ1" s="10"/>
      <c r="AV1" s="4"/>
      <c r="AY1" s="2"/>
      <c r="BA1" s="3"/>
      <c r="BD1" s="3"/>
      <c r="BE1" s="4"/>
      <c r="BG1" s="3"/>
      <c r="BH1" s="4"/>
      <c r="BI1" s="11"/>
      <c r="BJ1" s="3"/>
    </row>
    <row r="2" spans="1:63" s="12" customFormat="1" ht="64.5" customHeight="1">
      <c r="A2" s="84" t="s">
        <v>0</v>
      </c>
      <c r="B2" s="84" t="s">
        <v>1</v>
      </c>
      <c r="C2" s="84" t="s">
        <v>2</v>
      </c>
      <c r="D2" s="84" t="s">
        <v>11</v>
      </c>
      <c r="E2" s="84"/>
      <c r="F2" s="84"/>
      <c r="G2" s="84"/>
      <c r="H2" s="84"/>
      <c r="I2" s="84"/>
      <c r="J2" s="85" t="s">
        <v>12</v>
      </c>
      <c r="K2" s="85"/>
      <c r="L2" s="85"/>
      <c r="M2" s="85"/>
      <c r="N2" s="85"/>
      <c r="O2" s="85"/>
      <c r="P2" s="85"/>
      <c r="Q2" s="85"/>
      <c r="R2" s="84" t="s">
        <v>13</v>
      </c>
      <c r="S2" s="84"/>
      <c r="T2" s="84"/>
      <c r="U2" s="84"/>
      <c r="V2" s="84"/>
      <c r="W2" s="84" t="s">
        <v>14</v>
      </c>
      <c r="X2" s="84"/>
      <c r="Y2" s="84"/>
      <c r="Z2" s="84"/>
      <c r="AA2" s="84"/>
      <c r="AB2" s="84" t="s">
        <v>15</v>
      </c>
      <c r="AC2" s="84"/>
      <c r="AD2" s="84"/>
      <c r="AE2" s="84"/>
      <c r="AF2" s="84"/>
      <c r="AG2" s="87" t="s">
        <v>16</v>
      </c>
      <c r="AH2" s="88"/>
      <c r="AI2" s="88"/>
      <c r="AJ2" s="88"/>
      <c r="AK2" s="89"/>
      <c r="AL2" s="87" t="s">
        <v>17</v>
      </c>
      <c r="AM2" s="88"/>
      <c r="AN2" s="88"/>
      <c r="AO2" s="88"/>
      <c r="AP2" s="89"/>
      <c r="AQ2" s="90" t="s">
        <v>18</v>
      </c>
      <c r="AR2" s="90"/>
      <c r="AS2" s="90"/>
      <c r="AT2" s="88" t="s">
        <v>36</v>
      </c>
      <c r="AU2" s="88"/>
      <c r="AV2" s="89"/>
      <c r="AW2" s="84" t="s">
        <v>19</v>
      </c>
      <c r="AX2" s="84"/>
      <c r="AY2" s="84"/>
      <c r="AZ2" s="87" t="s">
        <v>20</v>
      </c>
      <c r="BA2" s="88"/>
      <c r="BB2" s="89"/>
      <c r="BC2" s="87" t="s">
        <v>21</v>
      </c>
      <c r="BD2" s="88"/>
      <c r="BE2" s="89"/>
      <c r="BF2" s="84" t="s">
        <v>22</v>
      </c>
      <c r="BG2" s="84"/>
      <c r="BH2" s="84"/>
      <c r="BI2" s="84" t="s">
        <v>23</v>
      </c>
      <c r="BJ2" s="84"/>
      <c r="BK2" s="84"/>
    </row>
    <row r="3" spans="1:63" s="12" customFormat="1" ht="168.75">
      <c r="A3" s="84"/>
      <c r="B3" s="84"/>
      <c r="C3" s="84"/>
      <c r="D3" s="42" t="s">
        <v>63</v>
      </c>
      <c r="E3" s="46" t="s">
        <v>62</v>
      </c>
      <c r="F3" s="43" t="s">
        <v>24</v>
      </c>
      <c r="G3" s="44" t="s">
        <v>3</v>
      </c>
      <c r="H3" s="45" t="s">
        <v>4</v>
      </c>
      <c r="I3" s="43" t="s">
        <v>60</v>
      </c>
      <c r="J3" s="46" t="s">
        <v>56</v>
      </c>
      <c r="K3" s="46" t="s">
        <v>61</v>
      </c>
      <c r="L3" s="43" t="s">
        <v>55</v>
      </c>
      <c r="M3" s="42" t="s">
        <v>54</v>
      </c>
      <c r="N3" s="46" t="s">
        <v>59</v>
      </c>
      <c r="O3" s="44" t="s">
        <v>3</v>
      </c>
      <c r="P3" s="43" t="s">
        <v>4</v>
      </c>
      <c r="Q3" s="43" t="s">
        <v>60</v>
      </c>
      <c r="R3" s="43" t="s">
        <v>25</v>
      </c>
      <c r="S3" s="43" t="s">
        <v>26</v>
      </c>
      <c r="T3" s="44" t="s">
        <v>3</v>
      </c>
      <c r="U3" s="45" t="s">
        <v>4</v>
      </c>
      <c r="V3" s="43" t="s">
        <v>60</v>
      </c>
      <c r="W3" s="43" t="s">
        <v>27</v>
      </c>
      <c r="X3" s="43" t="s">
        <v>28</v>
      </c>
      <c r="Y3" s="44" t="s">
        <v>3</v>
      </c>
      <c r="Z3" s="43" t="s">
        <v>4</v>
      </c>
      <c r="AA3" s="43" t="s">
        <v>60</v>
      </c>
      <c r="AB3" s="43" t="s">
        <v>29</v>
      </c>
      <c r="AC3" s="43" t="s">
        <v>30</v>
      </c>
      <c r="AD3" s="44" t="s">
        <v>3</v>
      </c>
      <c r="AE3" s="43" t="s">
        <v>4</v>
      </c>
      <c r="AF3" s="43" t="s">
        <v>60</v>
      </c>
      <c r="AG3" s="42" t="s">
        <v>31</v>
      </c>
      <c r="AH3" s="42" t="s">
        <v>32</v>
      </c>
      <c r="AI3" s="47" t="s">
        <v>3</v>
      </c>
      <c r="AJ3" s="43" t="s">
        <v>4</v>
      </c>
      <c r="AK3" s="43" t="s">
        <v>60</v>
      </c>
      <c r="AL3" s="42" t="s">
        <v>34</v>
      </c>
      <c r="AM3" s="42" t="s">
        <v>33</v>
      </c>
      <c r="AN3" s="47" t="s">
        <v>3</v>
      </c>
      <c r="AO3" s="43" t="s">
        <v>4</v>
      </c>
      <c r="AP3" s="43" t="s">
        <v>60</v>
      </c>
      <c r="AQ3" s="48" t="s">
        <v>35</v>
      </c>
      <c r="AR3" s="43" t="s">
        <v>4</v>
      </c>
      <c r="AS3" s="43" t="s">
        <v>60</v>
      </c>
      <c r="AT3" s="48" t="s">
        <v>37</v>
      </c>
      <c r="AU3" s="43" t="s">
        <v>4</v>
      </c>
      <c r="AV3" s="43" t="s">
        <v>60</v>
      </c>
      <c r="AW3" s="48" t="s">
        <v>39</v>
      </c>
      <c r="AX3" s="43" t="s">
        <v>4</v>
      </c>
      <c r="AY3" s="43" t="s">
        <v>60</v>
      </c>
      <c r="AZ3" s="48" t="s">
        <v>38</v>
      </c>
      <c r="BA3" s="43" t="s">
        <v>4</v>
      </c>
      <c r="BB3" s="43" t="s">
        <v>60</v>
      </c>
      <c r="BC3" s="48" t="s">
        <v>40</v>
      </c>
      <c r="BD3" s="43" t="s">
        <v>4</v>
      </c>
      <c r="BE3" s="43" t="s">
        <v>60</v>
      </c>
      <c r="BF3" s="48" t="s">
        <v>41</v>
      </c>
      <c r="BG3" s="43" t="s">
        <v>4</v>
      </c>
      <c r="BH3" s="43" t="s">
        <v>60</v>
      </c>
      <c r="BI3" s="48" t="s">
        <v>42</v>
      </c>
      <c r="BJ3" s="43" t="s">
        <v>4</v>
      </c>
      <c r="BK3" s="43" t="s">
        <v>60</v>
      </c>
    </row>
    <row r="4" spans="1:63" ht="24.75" customHeight="1">
      <c r="A4" s="13" t="s">
        <v>6</v>
      </c>
      <c r="B4" s="14">
        <f aca="true" t="shared" si="0" ref="B4:B9">I4+Q4+V4+AA4+AF4+AK4+AP4+AS4+AV4+AY4+BB4+BE4+BH4+BK4</f>
        <v>21</v>
      </c>
      <c r="C4" s="14">
        <f aca="true" t="shared" si="1" ref="C4:C9">RANK(B4,B$4:B$9)</f>
        <v>4</v>
      </c>
      <c r="D4" s="15">
        <v>28418.9</v>
      </c>
      <c r="E4" s="16">
        <v>61488.1</v>
      </c>
      <c r="F4" s="15">
        <v>94304</v>
      </c>
      <c r="G4" s="17">
        <f aca="true" t="shared" si="2" ref="G4:G9">(D4+E4)/(F4)</f>
        <v>0.9533741940956906</v>
      </c>
      <c r="H4" s="28">
        <f aca="true" t="shared" si="3" ref="H4:H9">G4</f>
        <v>0.9533741940956906</v>
      </c>
      <c r="I4" s="20">
        <f aca="true" t="shared" si="4" ref="I4:I9">IF(AND(H4&lt;0.1),-1,IF(OR(AND(H4&gt;=0.1,H4&lt;=0.6),AND(H4&gt;0.6,)),2,5))</f>
        <v>5</v>
      </c>
      <c r="J4" s="15">
        <v>16418.9</v>
      </c>
      <c r="K4" s="15">
        <f>2000+1183+40.1+100+168.5+171.8+20.2+313.2+92+122.6</f>
        <v>4211.4</v>
      </c>
      <c r="L4" s="37">
        <f>87965.4-4211.4</f>
        <v>83754</v>
      </c>
      <c r="M4" s="37">
        <v>7190.5</v>
      </c>
      <c r="N4" s="38">
        <f>60734.1+160+22.5+230-467-535</f>
        <v>60144.6</v>
      </c>
      <c r="O4" s="19">
        <f aca="true" t="shared" si="5" ref="O4:O9">J4/(L4-M4-N4)</f>
        <v>1</v>
      </c>
      <c r="P4" s="28">
        <f aca="true" t="shared" si="6" ref="P4:P9">O4</f>
        <v>1</v>
      </c>
      <c r="Q4" s="20">
        <f aca="true" t="shared" si="7" ref="Q4:Q9">IF(AND(P4&lt;0.6),0,IF(OR(AND(P4&gt;=0.6,P4&lt;1),AND(P4=1,)),2,5))</f>
        <v>5</v>
      </c>
      <c r="R4" s="15">
        <v>116</v>
      </c>
      <c r="S4" s="21">
        <v>1</v>
      </c>
      <c r="T4" s="19">
        <f aca="true" t="shared" si="8" ref="T4:T9">R4/(S4*12)</f>
        <v>9.666666666666666</v>
      </c>
      <c r="U4" s="28">
        <f aca="true" t="shared" si="9" ref="U4:U9">T4</f>
        <v>9.666666666666666</v>
      </c>
      <c r="V4" s="20">
        <f aca="true" t="shared" si="10" ref="V4:V9">IF(AND(U4&gt;4),0,IF(OR(AND(U4&gt;=2,U4&lt;=4),AND(U4&lt;2,)),1,2))</f>
        <v>0</v>
      </c>
      <c r="W4" s="16">
        <v>655.5</v>
      </c>
      <c r="X4" s="22">
        <v>791.8</v>
      </c>
      <c r="Y4" s="19">
        <f aca="true" t="shared" si="11" ref="Y4:Y9">1-(W4/X4)</f>
        <v>0.1721394291487749</v>
      </c>
      <c r="Z4" s="28">
        <f aca="true" t="shared" si="12" ref="Z4:Z9">Y4</f>
        <v>0.1721394291487749</v>
      </c>
      <c r="AA4" s="20">
        <f aca="true" t="shared" si="13" ref="AA4:AA9">IF(AND(Z4&gt;0.1),-1,IF(OR(AND(Z4&gt;=0.1),AND(Z4&lt;0.05,)),1,3))</f>
        <v>-1</v>
      </c>
      <c r="AB4" s="15">
        <v>50.5</v>
      </c>
      <c r="AC4" s="15">
        <v>53.5</v>
      </c>
      <c r="AD4" s="19">
        <f aca="true" t="shared" si="14" ref="AD4:AD9">AB4/AC4</f>
        <v>0.9439252336448598</v>
      </c>
      <c r="AE4" s="28">
        <f aca="true" t="shared" si="15" ref="AE4:AE9">AD4</f>
        <v>0.9439252336448598</v>
      </c>
      <c r="AF4" s="36">
        <f aca="true" t="shared" si="16" ref="AF4:AF9">IF(AND(AE4&gt;0.9),5,IF(OR(AND(AE4&lt;=0.9),),0))</f>
        <v>5</v>
      </c>
      <c r="AG4" s="23">
        <v>28361.3</v>
      </c>
      <c r="AH4" s="23">
        <v>28418.9</v>
      </c>
      <c r="AI4" s="24">
        <f aca="true" t="shared" si="17" ref="AI4:AI12">AG4/AH4</f>
        <v>0.9979731798204715</v>
      </c>
      <c r="AJ4" s="31">
        <f aca="true" t="shared" si="18" ref="AJ4:AJ12">AI4</f>
        <v>0.9979731798204715</v>
      </c>
      <c r="AK4" s="20">
        <f aca="true" t="shared" si="19" ref="AK4:AK12">IF(AND(AJ4&gt;0.95),5,IF(OR(AND(AJ4&lt;=0.95),),0))</f>
        <v>5</v>
      </c>
      <c r="AL4" s="25">
        <v>56878.4</v>
      </c>
      <c r="AM4" s="25">
        <v>58628.6</v>
      </c>
      <c r="AN4" s="24">
        <f aca="true" t="shared" si="20" ref="AN4:AN9">AL4/AM4</f>
        <v>0.9701476753666299</v>
      </c>
      <c r="AO4" s="31">
        <f aca="true" t="shared" si="21" ref="AO4:AO9">AN4</f>
        <v>0.9701476753666299</v>
      </c>
      <c r="AP4" s="20">
        <f aca="true" t="shared" si="22" ref="AP4:AP9">IF(AND(AO4&gt;0.9),3,IF(OR(AND(AO4&lt;=0.9),),0))</f>
        <v>3</v>
      </c>
      <c r="AQ4" s="26">
        <v>2</v>
      </c>
      <c r="AR4" s="18" t="s">
        <v>5</v>
      </c>
      <c r="AS4" s="20">
        <f aca="true" t="shared" si="23" ref="AS4:AS9">IF(AQ4&lt;=0,3,0)</f>
        <v>0</v>
      </c>
      <c r="AT4" s="26">
        <v>0</v>
      </c>
      <c r="AU4" s="18" t="s">
        <v>5</v>
      </c>
      <c r="AV4" s="20">
        <f aca="true" t="shared" si="24" ref="AV4:AV9">IF(AT4&lt;=0,0,-1)</f>
        <v>0</v>
      </c>
      <c r="AW4" s="26">
        <v>0</v>
      </c>
      <c r="AX4" s="18" t="s">
        <v>5</v>
      </c>
      <c r="AY4" s="20">
        <f aca="true" t="shared" si="25" ref="AY4:AY9">IF(AW4&lt;=0,0,-1)</f>
        <v>0</v>
      </c>
      <c r="AZ4" s="26">
        <v>0</v>
      </c>
      <c r="BA4" s="18" t="s">
        <v>5</v>
      </c>
      <c r="BB4" s="20">
        <f aca="true" t="shared" si="26" ref="BB4:BB9">IF(AZ4&lt;=0,0,-1)</f>
        <v>0</v>
      </c>
      <c r="BC4" s="26">
        <v>0</v>
      </c>
      <c r="BD4" s="18" t="s">
        <v>5</v>
      </c>
      <c r="BE4" s="20">
        <f aca="true" t="shared" si="27" ref="BE4:BE9">IF(BC4&lt;=0,0,-1)</f>
        <v>0</v>
      </c>
      <c r="BF4" s="26">
        <v>1</v>
      </c>
      <c r="BG4" s="18" t="s">
        <v>5</v>
      </c>
      <c r="BH4" s="20">
        <f aca="true" t="shared" si="28" ref="BH4:BH9">IF(BF4&lt;=0,0,-1)</f>
        <v>-1</v>
      </c>
      <c r="BI4" s="26"/>
      <c r="BJ4" s="18" t="s">
        <v>5</v>
      </c>
      <c r="BK4" s="20">
        <f aca="true" t="shared" si="29" ref="BK4:BK9">IF(BI4&lt;=0,0,-1)</f>
        <v>0</v>
      </c>
    </row>
    <row r="5" spans="1:63" ht="24.75" customHeight="1">
      <c r="A5" s="13" t="s">
        <v>7</v>
      </c>
      <c r="B5" s="14">
        <f t="shared" si="0"/>
        <v>25</v>
      </c>
      <c r="C5" s="14">
        <f t="shared" si="1"/>
        <v>2</v>
      </c>
      <c r="D5" s="15">
        <v>21084.4</v>
      </c>
      <c r="E5" s="16">
        <f>208990.1+160</f>
        <v>209150.1</v>
      </c>
      <c r="F5" s="15">
        <v>240414.3</v>
      </c>
      <c r="G5" s="17">
        <f t="shared" si="2"/>
        <v>0.9576572608201759</v>
      </c>
      <c r="H5" s="28">
        <f t="shared" si="3"/>
        <v>0.9576572608201759</v>
      </c>
      <c r="I5" s="20">
        <f t="shared" si="4"/>
        <v>5</v>
      </c>
      <c r="J5" s="15">
        <v>94761.8</v>
      </c>
      <c r="K5" s="15"/>
      <c r="L5" s="37">
        <v>205501.6</v>
      </c>
      <c r="M5" s="37">
        <v>6220</v>
      </c>
      <c r="N5" s="38">
        <v>104519.8</v>
      </c>
      <c r="O5" s="19">
        <f t="shared" si="5"/>
        <v>1</v>
      </c>
      <c r="P5" s="28">
        <f t="shared" si="6"/>
        <v>1</v>
      </c>
      <c r="Q5" s="20">
        <f t="shared" si="7"/>
        <v>5</v>
      </c>
      <c r="R5" s="15">
        <v>1714</v>
      </c>
      <c r="S5" s="21">
        <v>28</v>
      </c>
      <c r="T5" s="19">
        <f t="shared" si="8"/>
        <v>5.101190476190476</v>
      </c>
      <c r="U5" s="28">
        <f t="shared" si="9"/>
        <v>5.101190476190476</v>
      </c>
      <c r="V5" s="20">
        <f t="shared" si="10"/>
        <v>0</v>
      </c>
      <c r="W5" s="16">
        <v>19168.4</v>
      </c>
      <c r="X5" s="22">
        <v>19635.9</v>
      </c>
      <c r="Y5" s="19">
        <f t="shared" si="11"/>
        <v>0.023808432513915845</v>
      </c>
      <c r="Z5" s="28">
        <f t="shared" si="12"/>
        <v>0.023808432513915845</v>
      </c>
      <c r="AA5" s="20">
        <f t="shared" si="13"/>
        <v>3</v>
      </c>
      <c r="AB5" s="15">
        <f>1312+2761+2122+44.5+3</f>
        <v>6242.5</v>
      </c>
      <c r="AC5" s="15">
        <f>1298+2778+2116+44.5+3</f>
        <v>6239.5</v>
      </c>
      <c r="AD5" s="19">
        <f t="shared" si="14"/>
        <v>1.0004808077570317</v>
      </c>
      <c r="AE5" s="28">
        <f t="shared" si="15"/>
        <v>1.0004808077570317</v>
      </c>
      <c r="AF5" s="36">
        <f t="shared" si="16"/>
        <v>5</v>
      </c>
      <c r="AG5" s="23">
        <v>21084.4</v>
      </c>
      <c r="AH5" s="23">
        <v>21084.4</v>
      </c>
      <c r="AI5" s="24">
        <f t="shared" si="17"/>
        <v>1</v>
      </c>
      <c r="AJ5" s="31">
        <f t="shared" si="18"/>
        <v>1</v>
      </c>
      <c r="AK5" s="20">
        <f t="shared" si="19"/>
        <v>5</v>
      </c>
      <c r="AL5" s="25">
        <v>125408.7</v>
      </c>
      <c r="AM5" s="25">
        <v>125879.9</v>
      </c>
      <c r="AN5" s="24">
        <f t="shared" si="20"/>
        <v>0.9962567494889971</v>
      </c>
      <c r="AO5" s="31">
        <f t="shared" si="21"/>
        <v>0.9962567494889971</v>
      </c>
      <c r="AP5" s="20">
        <f t="shared" si="22"/>
        <v>3</v>
      </c>
      <c r="AQ5" s="26">
        <v>117</v>
      </c>
      <c r="AR5" s="18" t="s">
        <v>5</v>
      </c>
      <c r="AS5" s="20">
        <f t="shared" si="23"/>
        <v>0</v>
      </c>
      <c r="AT5" s="26">
        <v>0</v>
      </c>
      <c r="AU5" s="18" t="s">
        <v>5</v>
      </c>
      <c r="AV5" s="20">
        <f t="shared" si="24"/>
        <v>0</v>
      </c>
      <c r="AW5" s="26">
        <v>0</v>
      </c>
      <c r="AX5" s="18" t="s">
        <v>5</v>
      </c>
      <c r="AY5" s="20">
        <f t="shared" si="25"/>
        <v>0</v>
      </c>
      <c r="AZ5" s="26">
        <v>0</v>
      </c>
      <c r="BA5" s="18" t="s">
        <v>5</v>
      </c>
      <c r="BB5" s="20">
        <f t="shared" si="26"/>
        <v>0</v>
      </c>
      <c r="BC5" s="26">
        <v>0</v>
      </c>
      <c r="BD5" s="18" t="s">
        <v>5</v>
      </c>
      <c r="BE5" s="20">
        <f t="shared" si="27"/>
        <v>0</v>
      </c>
      <c r="BF5" s="26">
        <v>1</v>
      </c>
      <c r="BG5" s="18" t="s">
        <v>5</v>
      </c>
      <c r="BH5" s="20">
        <f t="shared" si="28"/>
        <v>-1</v>
      </c>
      <c r="BI5" s="26"/>
      <c r="BJ5" s="18" t="s">
        <v>5</v>
      </c>
      <c r="BK5" s="20">
        <f t="shared" si="29"/>
        <v>0</v>
      </c>
    </row>
    <row r="6" spans="1:63" ht="24.75" customHeight="1">
      <c r="A6" s="13" t="s">
        <v>8</v>
      </c>
      <c r="B6" s="14">
        <f t="shared" si="0"/>
        <v>24</v>
      </c>
      <c r="C6" s="14">
        <f t="shared" si="1"/>
        <v>3</v>
      </c>
      <c r="D6" s="15">
        <v>2012.4</v>
      </c>
      <c r="E6" s="16">
        <v>45121.6</v>
      </c>
      <c r="F6" s="15">
        <v>49158.6</v>
      </c>
      <c r="G6" s="17">
        <f t="shared" si="2"/>
        <v>0.9588149377728414</v>
      </c>
      <c r="H6" s="28">
        <f t="shared" si="3"/>
        <v>0.9588149377728414</v>
      </c>
      <c r="I6" s="20">
        <f t="shared" si="4"/>
        <v>5</v>
      </c>
      <c r="J6" s="15">
        <v>32402.1</v>
      </c>
      <c r="K6" s="15"/>
      <c r="L6" s="37">
        <v>37803.5</v>
      </c>
      <c r="M6" s="37">
        <v>1997.4</v>
      </c>
      <c r="N6" s="38">
        <f>644+2760</f>
        <v>3404</v>
      </c>
      <c r="O6" s="19">
        <f t="shared" si="5"/>
        <v>1</v>
      </c>
      <c r="P6" s="28">
        <f t="shared" si="6"/>
        <v>1</v>
      </c>
      <c r="Q6" s="20">
        <f t="shared" si="7"/>
        <v>5</v>
      </c>
      <c r="R6" s="15">
        <v>308</v>
      </c>
      <c r="S6" s="21">
        <v>9</v>
      </c>
      <c r="T6" s="19">
        <f t="shared" si="8"/>
        <v>2.8518518518518516</v>
      </c>
      <c r="U6" s="28">
        <f t="shared" si="9"/>
        <v>2.8518518518518516</v>
      </c>
      <c r="V6" s="20">
        <f t="shared" si="10"/>
        <v>1</v>
      </c>
      <c r="W6" s="16">
        <v>2392.9</v>
      </c>
      <c r="X6" s="22">
        <v>2458.9</v>
      </c>
      <c r="Y6" s="19">
        <f t="shared" si="11"/>
        <v>0.02684127048680307</v>
      </c>
      <c r="Z6" s="28">
        <f t="shared" si="12"/>
        <v>0.02684127048680307</v>
      </c>
      <c r="AA6" s="20">
        <f t="shared" si="13"/>
        <v>3</v>
      </c>
      <c r="AB6" s="15">
        <f>217+3.038+411+1763+8+4</f>
        <v>2406.038</v>
      </c>
      <c r="AC6" s="15">
        <f>226+3.067+357+1643+8+4</f>
        <v>2241.067</v>
      </c>
      <c r="AD6" s="19">
        <f t="shared" si="14"/>
        <v>1.0736127032346645</v>
      </c>
      <c r="AE6" s="28">
        <f t="shared" si="15"/>
        <v>1.0736127032346645</v>
      </c>
      <c r="AF6" s="36">
        <f t="shared" si="16"/>
        <v>5</v>
      </c>
      <c r="AG6" s="23">
        <v>1997.4</v>
      </c>
      <c r="AH6" s="23">
        <v>2012.4</v>
      </c>
      <c r="AI6" s="24">
        <f t="shared" si="17"/>
        <v>0.992546213476446</v>
      </c>
      <c r="AJ6" s="31">
        <f t="shared" si="18"/>
        <v>0.992546213476446</v>
      </c>
      <c r="AK6" s="20">
        <f t="shared" si="19"/>
        <v>5</v>
      </c>
      <c r="AL6" s="25">
        <v>9565.3</v>
      </c>
      <c r="AM6" s="25">
        <v>9650.5</v>
      </c>
      <c r="AN6" s="24">
        <f t="shared" si="20"/>
        <v>0.9911714418942023</v>
      </c>
      <c r="AO6" s="31">
        <f t="shared" si="21"/>
        <v>0.9911714418942023</v>
      </c>
      <c r="AP6" s="20">
        <f t="shared" si="22"/>
        <v>3</v>
      </c>
      <c r="AQ6" s="26">
        <v>16</v>
      </c>
      <c r="AR6" s="18" t="s">
        <v>5</v>
      </c>
      <c r="AS6" s="20">
        <f t="shared" si="23"/>
        <v>0</v>
      </c>
      <c r="AT6" s="26">
        <v>0</v>
      </c>
      <c r="AU6" s="18" t="s">
        <v>5</v>
      </c>
      <c r="AV6" s="20">
        <f t="shared" si="24"/>
        <v>0</v>
      </c>
      <c r="AW6" s="26">
        <v>1</v>
      </c>
      <c r="AX6" s="18" t="s">
        <v>5</v>
      </c>
      <c r="AY6" s="20">
        <f t="shared" si="25"/>
        <v>-1</v>
      </c>
      <c r="AZ6" s="26">
        <v>1</v>
      </c>
      <c r="BA6" s="18" t="s">
        <v>5</v>
      </c>
      <c r="BB6" s="20">
        <f t="shared" si="26"/>
        <v>-1</v>
      </c>
      <c r="BC6" s="26">
        <v>0</v>
      </c>
      <c r="BD6" s="18" t="s">
        <v>5</v>
      </c>
      <c r="BE6" s="20">
        <f t="shared" si="27"/>
        <v>0</v>
      </c>
      <c r="BF6" s="26">
        <v>0</v>
      </c>
      <c r="BG6" s="18" t="s">
        <v>5</v>
      </c>
      <c r="BH6" s="20">
        <f t="shared" si="28"/>
        <v>0</v>
      </c>
      <c r="BI6" s="26">
        <v>1</v>
      </c>
      <c r="BJ6" s="18" t="s">
        <v>5</v>
      </c>
      <c r="BK6" s="20">
        <f t="shared" si="29"/>
        <v>-1</v>
      </c>
    </row>
    <row r="7" spans="1:63" ht="24.75" customHeight="1">
      <c r="A7" s="13" t="s">
        <v>9</v>
      </c>
      <c r="B7" s="14">
        <f t="shared" si="0"/>
        <v>31</v>
      </c>
      <c r="C7" s="14">
        <f t="shared" si="1"/>
        <v>1</v>
      </c>
      <c r="D7" s="15">
        <v>0</v>
      </c>
      <c r="E7" s="16">
        <v>67880.1</v>
      </c>
      <c r="F7" s="15">
        <v>67880.1</v>
      </c>
      <c r="G7" s="17">
        <f t="shared" si="2"/>
        <v>1</v>
      </c>
      <c r="H7" s="28">
        <f t="shared" si="3"/>
        <v>1</v>
      </c>
      <c r="I7" s="20">
        <f t="shared" si="4"/>
        <v>5</v>
      </c>
      <c r="J7" s="15">
        <v>3502.4</v>
      </c>
      <c r="K7" s="15">
        <v>3200</v>
      </c>
      <c r="L7" s="37">
        <f>34298.4-3200</f>
        <v>31098.4</v>
      </c>
      <c r="M7" s="37">
        <v>0</v>
      </c>
      <c r="N7" s="38">
        <f>19208.7+8387.3</f>
        <v>27596</v>
      </c>
      <c r="O7" s="19">
        <f t="shared" si="5"/>
        <v>0.9999999999999996</v>
      </c>
      <c r="P7" s="28">
        <f t="shared" si="6"/>
        <v>0.9999999999999996</v>
      </c>
      <c r="Q7" s="20">
        <f t="shared" si="7"/>
        <v>5</v>
      </c>
      <c r="R7" s="15">
        <v>31</v>
      </c>
      <c r="S7" s="21">
        <v>10</v>
      </c>
      <c r="T7" s="19">
        <f t="shared" si="8"/>
        <v>0.25833333333333336</v>
      </c>
      <c r="U7" s="28">
        <f t="shared" si="9"/>
        <v>0.25833333333333336</v>
      </c>
      <c r="V7" s="20">
        <f t="shared" si="10"/>
        <v>2</v>
      </c>
      <c r="W7" s="27">
        <v>59.8</v>
      </c>
      <c r="X7" s="35">
        <v>59.8</v>
      </c>
      <c r="Y7" s="19">
        <f t="shared" si="11"/>
        <v>0</v>
      </c>
      <c r="Z7" s="28">
        <f t="shared" si="12"/>
        <v>0</v>
      </c>
      <c r="AA7" s="20">
        <f t="shared" si="13"/>
        <v>3</v>
      </c>
      <c r="AB7" s="27">
        <v>13</v>
      </c>
      <c r="AC7" s="35">
        <v>13</v>
      </c>
      <c r="AD7" s="19">
        <f t="shared" si="14"/>
        <v>1</v>
      </c>
      <c r="AE7" s="28">
        <f t="shared" si="15"/>
        <v>1</v>
      </c>
      <c r="AF7" s="36">
        <f t="shared" si="16"/>
        <v>5</v>
      </c>
      <c r="AG7" s="27">
        <v>0.01</v>
      </c>
      <c r="AH7" s="35">
        <v>0.01</v>
      </c>
      <c r="AI7" s="24">
        <f t="shared" si="17"/>
        <v>1</v>
      </c>
      <c r="AJ7" s="31">
        <f t="shared" si="18"/>
        <v>1</v>
      </c>
      <c r="AK7" s="20">
        <f t="shared" si="19"/>
        <v>5</v>
      </c>
      <c r="AL7" s="25">
        <v>29930.2</v>
      </c>
      <c r="AM7" s="25">
        <v>29930.6</v>
      </c>
      <c r="AN7" s="24">
        <f t="shared" si="20"/>
        <v>0.9999866357507033</v>
      </c>
      <c r="AO7" s="31">
        <f t="shared" si="21"/>
        <v>0.9999866357507033</v>
      </c>
      <c r="AP7" s="20">
        <f t="shared" si="22"/>
        <v>3</v>
      </c>
      <c r="AQ7" s="26">
        <v>0</v>
      </c>
      <c r="AR7" s="18" t="s">
        <v>5</v>
      </c>
      <c r="AS7" s="20">
        <f t="shared" si="23"/>
        <v>3</v>
      </c>
      <c r="AT7" s="26">
        <v>0</v>
      </c>
      <c r="AU7" s="18" t="s">
        <v>5</v>
      </c>
      <c r="AV7" s="20">
        <f t="shared" si="24"/>
        <v>0</v>
      </c>
      <c r="AW7" s="26">
        <v>0</v>
      </c>
      <c r="AX7" s="18" t="s">
        <v>5</v>
      </c>
      <c r="AY7" s="20">
        <f t="shared" si="25"/>
        <v>0</v>
      </c>
      <c r="AZ7" s="26">
        <v>0</v>
      </c>
      <c r="BA7" s="18" t="s">
        <v>5</v>
      </c>
      <c r="BB7" s="20">
        <f t="shared" si="26"/>
        <v>0</v>
      </c>
      <c r="BC7" s="26">
        <v>0</v>
      </c>
      <c r="BD7" s="18" t="s">
        <v>5</v>
      </c>
      <c r="BE7" s="20">
        <f t="shared" si="27"/>
        <v>0</v>
      </c>
      <c r="BF7" s="26">
        <v>0</v>
      </c>
      <c r="BG7" s="18" t="s">
        <v>5</v>
      </c>
      <c r="BH7" s="20">
        <f t="shared" si="28"/>
        <v>0</v>
      </c>
      <c r="BI7" s="26">
        <v>0</v>
      </c>
      <c r="BJ7" s="18" t="s">
        <v>5</v>
      </c>
      <c r="BK7" s="20">
        <f t="shared" si="29"/>
        <v>0</v>
      </c>
    </row>
    <row r="8" spans="1:63" s="1" customFormat="1" ht="24.75" customHeight="1">
      <c r="A8" s="13" t="s">
        <v>10</v>
      </c>
      <c r="B8" s="14">
        <f t="shared" si="0"/>
        <v>12</v>
      </c>
      <c r="C8" s="14">
        <f t="shared" si="1"/>
        <v>6</v>
      </c>
      <c r="D8" s="15">
        <v>376.9</v>
      </c>
      <c r="E8" s="16">
        <v>0</v>
      </c>
      <c r="F8" s="15">
        <v>5166.1</v>
      </c>
      <c r="G8" s="17">
        <f t="shared" si="2"/>
        <v>0.0729563887652194</v>
      </c>
      <c r="H8" s="28">
        <f t="shared" si="3"/>
        <v>0.0729563887652194</v>
      </c>
      <c r="I8" s="20">
        <f t="shared" si="4"/>
        <v>-1</v>
      </c>
      <c r="J8" s="15">
        <v>0.1</v>
      </c>
      <c r="K8" s="15">
        <v>781.9</v>
      </c>
      <c r="L8" s="37">
        <f>3049.9-781.8</f>
        <v>2268.1000000000004</v>
      </c>
      <c r="M8" s="37">
        <v>200</v>
      </c>
      <c r="N8" s="38">
        <v>2068</v>
      </c>
      <c r="O8" s="40">
        <f t="shared" si="5"/>
        <v>0.999999999996362</v>
      </c>
      <c r="P8" s="41">
        <v>1</v>
      </c>
      <c r="Q8" s="20">
        <f t="shared" si="7"/>
        <v>5</v>
      </c>
      <c r="R8" s="15">
        <v>19</v>
      </c>
      <c r="S8" s="21">
        <v>1</v>
      </c>
      <c r="T8" s="19">
        <f t="shared" si="8"/>
        <v>1.5833333333333333</v>
      </c>
      <c r="U8" s="28">
        <f t="shared" si="9"/>
        <v>1.5833333333333333</v>
      </c>
      <c r="V8" s="20">
        <f t="shared" si="10"/>
        <v>2</v>
      </c>
      <c r="W8" s="16">
        <v>5813.3</v>
      </c>
      <c r="X8" s="22">
        <v>5890.4</v>
      </c>
      <c r="Y8" s="19">
        <f t="shared" si="11"/>
        <v>0.013089094119244749</v>
      </c>
      <c r="Z8" s="28">
        <f t="shared" si="12"/>
        <v>0.013089094119244749</v>
      </c>
      <c r="AA8" s="20">
        <f t="shared" si="13"/>
        <v>3</v>
      </c>
      <c r="AB8" s="27">
        <v>0.01</v>
      </c>
      <c r="AC8" s="35">
        <v>0.01</v>
      </c>
      <c r="AD8" s="19">
        <f t="shared" si="14"/>
        <v>1</v>
      </c>
      <c r="AE8" s="28">
        <f t="shared" si="15"/>
        <v>1</v>
      </c>
      <c r="AF8" s="36">
        <f t="shared" si="16"/>
        <v>5</v>
      </c>
      <c r="AG8" s="23">
        <v>313.4</v>
      </c>
      <c r="AH8" s="23">
        <v>376.9</v>
      </c>
      <c r="AI8" s="24">
        <f t="shared" si="17"/>
        <v>0.8315202971610507</v>
      </c>
      <c r="AJ8" s="31">
        <f t="shared" si="18"/>
        <v>0.8315202971610507</v>
      </c>
      <c r="AK8" s="20">
        <f t="shared" si="19"/>
        <v>0</v>
      </c>
      <c r="AL8" s="25">
        <v>2478</v>
      </c>
      <c r="AM8" s="25">
        <v>2895</v>
      </c>
      <c r="AN8" s="24">
        <f t="shared" si="20"/>
        <v>0.8559585492227979</v>
      </c>
      <c r="AO8" s="31">
        <f t="shared" si="21"/>
        <v>0.8559585492227979</v>
      </c>
      <c r="AP8" s="20">
        <f t="shared" si="22"/>
        <v>0</v>
      </c>
      <c r="AQ8" s="26">
        <v>2</v>
      </c>
      <c r="AR8" s="18" t="s">
        <v>5</v>
      </c>
      <c r="AS8" s="20">
        <f t="shared" si="23"/>
        <v>0</v>
      </c>
      <c r="AT8" s="26">
        <v>0</v>
      </c>
      <c r="AU8" s="18" t="s">
        <v>5</v>
      </c>
      <c r="AV8" s="20">
        <f t="shared" si="24"/>
        <v>0</v>
      </c>
      <c r="AW8" s="26">
        <v>1</v>
      </c>
      <c r="AX8" s="18" t="s">
        <v>5</v>
      </c>
      <c r="AY8" s="20">
        <f t="shared" si="25"/>
        <v>-1</v>
      </c>
      <c r="AZ8" s="26">
        <v>1</v>
      </c>
      <c r="BA8" s="18" t="s">
        <v>5</v>
      </c>
      <c r="BB8" s="20">
        <f t="shared" si="26"/>
        <v>-1</v>
      </c>
      <c r="BC8" s="26">
        <v>0</v>
      </c>
      <c r="BD8" s="18" t="s">
        <v>5</v>
      </c>
      <c r="BE8" s="20">
        <f t="shared" si="27"/>
        <v>0</v>
      </c>
      <c r="BF8" s="26"/>
      <c r="BG8" s="18" t="s">
        <v>5</v>
      </c>
      <c r="BH8" s="20">
        <f t="shared" si="28"/>
        <v>0</v>
      </c>
      <c r="BI8" s="26"/>
      <c r="BJ8" s="18" t="s">
        <v>5</v>
      </c>
      <c r="BK8" s="20">
        <f t="shared" si="29"/>
        <v>0</v>
      </c>
    </row>
    <row r="9" spans="1:63" s="1" customFormat="1" ht="24.75" customHeight="1">
      <c r="A9" s="13" t="s">
        <v>44</v>
      </c>
      <c r="B9" s="14">
        <f t="shared" si="0"/>
        <v>21</v>
      </c>
      <c r="C9" s="14">
        <f t="shared" si="1"/>
        <v>4</v>
      </c>
      <c r="D9" s="15">
        <v>0</v>
      </c>
      <c r="E9" s="16">
        <v>0</v>
      </c>
      <c r="F9" s="15">
        <v>3455.9</v>
      </c>
      <c r="G9" s="17">
        <f t="shared" si="2"/>
        <v>0</v>
      </c>
      <c r="H9" s="28">
        <f t="shared" si="3"/>
        <v>0</v>
      </c>
      <c r="I9" s="20">
        <f t="shared" si="4"/>
        <v>-1</v>
      </c>
      <c r="J9" s="15">
        <v>3270.1</v>
      </c>
      <c r="K9" s="15">
        <v>0</v>
      </c>
      <c r="L9" s="37">
        <v>3274.1</v>
      </c>
      <c r="M9" s="37">
        <v>0</v>
      </c>
      <c r="N9" s="38">
        <v>4</v>
      </c>
      <c r="O9" s="19">
        <f t="shared" si="5"/>
        <v>1</v>
      </c>
      <c r="P9" s="28">
        <f t="shared" si="6"/>
        <v>1</v>
      </c>
      <c r="Q9" s="20">
        <f t="shared" si="7"/>
        <v>5</v>
      </c>
      <c r="R9" s="15">
        <v>23</v>
      </c>
      <c r="S9" s="21">
        <v>1</v>
      </c>
      <c r="T9" s="19">
        <f t="shared" si="8"/>
        <v>1.9166666666666667</v>
      </c>
      <c r="U9" s="28">
        <f t="shared" si="9"/>
        <v>1.9166666666666667</v>
      </c>
      <c r="V9" s="20">
        <f t="shared" si="10"/>
        <v>2</v>
      </c>
      <c r="W9" s="16">
        <v>0</v>
      </c>
      <c r="X9" s="22">
        <v>7</v>
      </c>
      <c r="Y9" s="19">
        <f t="shared" si="11"/>
        <v>1</v>
      </c>
      <c r="Z9" s="28">
        <f t="shared" si="12"/>
        <v>1</v>
      </c>
      <c r="AA9" s="20">
        <f t="shared" si="13"/>
        <v>-1</v>
      </c>
      <c r="AB9" s="27">
        <v>8</v>
      </c>
      <c r="AC9" s="35">
        <v>8.25</v>
      </c>
      <c r="AD9" s="19">
        <f t="shared" si="14"/>
        <v>0.9696969696969697</v>
      </c>
      <c r="AE9" s="28">
        <f t="shared" si="15"/>
        <v>0.9696969696969697</v>
      </c>
      <c r="AF9" s="36">
        <f t="shared" si="16"/>
        <v>5</v>
      </c>
      <c r="AG9" s="27">
        <v>0.01</v>
      </c>
      <c r="AH9" s="27">
        <v>0.01</v>
      </c>
      <c r="AI9" s="24">
        <f t="shared" si="17"/>
        <v>1</v>
      </c>
      <c r="AJ9" s="31">
        <f t="shared" si="18"/>
        <v>1</v>
      </c>
      <c r="AK9" s="20">
        <f t="shared" si="19"/>
        <v>5</v>
      </c>
      <c r="AL9" s="25">
        <v>6</v>
      </c>
      <c r="AM9" s="25">
        <v>6</v>
      </c>
      <c r="AN9" s="24">
        <f t="shared" si="20"/>
        <v>1</v>
      </c>
      <c r="AO9" s="31">
        <f t="shared" si="21"/>
        <v>1</v>
      </c>
      <c r="AP9" s="20">
        <f t="shared" si="22"/>
        <v>3</v>
      </c>
      <c r="AQ9" s="26">
        <v>0</v>
      </c>
      <c r="AR9" s="18" t="s">
        <v>5</v>
      </c>
      <c r="AS9" s="20">
        <f t="shared" si="23"/>
        <v>3</v>
      </c>
      <c r="AT9" s="26">
        <v>0</v>
      </c>
      <c r="AU9" s="18" t="s">
        <v>5</v>
      </c>
      <c r="AV9" s="20">
        <f t="shared" si="24"/>
        <v>0</v>
      </c>
      <c r="AW9" s="26">
        <v>0</v>
      </c>
      <c r="AX9" s="18" t="s">
        <v>5</v>
      </c>
      <c r="AY9" s="20">
        <f t="shared" si="25"/>
        <v>0</v>
      </c>
      <c r="AZ9" s="26">
        <v>0</v>
      </c>
      <c r="BA9" s="18" t="s">
        <v>5</v>
      </c>
      <c r="BB9" s="20">
        <f t="shared" si="26"/>
        <v>0</v>
      </c>
      <c r="BC9" s="26">
        <v>0</v>
      </c>
      <c r="BD9" s="18" t="s">
        <v>5</v>
      </c>
      <c r="BE9" s="20">
        <f t="shared" si="27"/>
        <v>0</v>
      </c>
      <c r="BF9" s="26"/>
      <c r="BG9" s="18" t="s">
        <v>5</v>
      </c>
      <c r="BH9" s="20">
        <f t="shared" si="28"/>
        <v>0</v>
      </c>
      <c r="BI9" s="26"/>
      <c r="BJ9" s="18" t="s">
        <v>5</v>
      </c>
      <c r="BK9" s="20">
        <f t="shared" si="29"/>
        <v>0</v>
      </c>
    </row>
    <row r="10" spans="1:42" ht="12.75">
      <c r="A10" s="11" t="s">
        <v>45</v>
      </c>
      <c r="AG10" s="11">
        <v>26755.4</v>
      </c>
      <c r="AH10" s="11">
        <v>38370</v>
      </c>
      <c r="AI10" s="9">
        <f t="shared" si="17"/>
        <v>0.6972999739379724</v>
      </c>
      <c r="AJ10" s="11">
        <f t="shared" si="18"/>
        <v>0.6972999739379724</v>
      </c>
      <c r="AK10" s="11">
        <f t="shared" si="19"/>
        <v>0</v>
      </c>
      <c r="AL10" s="11">
        <v>29615</v>
      </c>
      <c r="AM10" s="11">
        <v>41196.5</v>
      </c>
      <c r="AN10" s="24"/>
      <c r="AO10" s="31"/>
      <c r="AP10" s="18"/>
    </row>
    <row r="11" spans="10:37" ht="12.75">
      <c r="J11" s="11" t="s">
        <v>51</v>
      </c>
      <c r="N11" s="30" t="s">
        <v>57</v>
      </c>
      <c r="O11" s="5">
        <v>8387.3</v>
      </c>
      <c r="AF11" s="32" t="s">
        <v>47</v>
      </c>
      <c r="AG11" s="11">
        <v>65</v>
      </c>
      <c r="AH11" s="11">
        <v>65</v>
      </c>
      <c r="AI11" s="9">
        <f t="shared" si="17"/>
        <v>1</v>
      </c>
      <c r="AJ11" s="11">
        <f t="shared" si="18"/>
        <v>1</v>
      </c>
      <c r="AK11" s="11">
        <f t="shared" si="19"/>
        <v>5</v>
      </c>
    </row>
    <row r="12" spans="1:39" ht="12.75">
      <c r="A12" s="11" t="s">
        <v>46</v>
      </c>
      <c r="I12" s="32" t="s">
        <v>48</v>
      </c>
      <c r="J12" s="11">
        <v>15416.9</v>
      </c>
      <c r="N12" s="30" t="s">
        <v>58</v>
      </c>
      <c r="O12" s="5">
        <v>2760</v>
      </c>
      <c r="AG12" s="11">
        <v>78576.9</v>
      </c>
      <c r="AH12" s="11">
        <v>90327.5</v>
      </c>
      <c r="AI12" s="9">
        <f t="shared" si="17"/>
        <v>0.8699111566245052</v>
      </c>
      <c r="AJ12" s="11">
        <f t="shared" si="18"/>
        <v>0.8699111566245052</v>
      </c>
      <c r="AK12" s="11">
        <f t="shared" si="19"/>
        <v>0</v>
      </c>
      <c r="AL12" s="11">
        <v>253881.6</v>
      </c>
      <c r="AM12" s="11">
        <v>268187.1</v>
      </c>
    </row>
    <row r="13" spans="9:10" ht="12.75">
      <c r="I13" s="32" t="s">
        <v>49</v>
      </c>
      <c r="J13" s="11">
        <v>467</v>
      </c>
    </row>
    <row r="14" spans="9:10" ht="12.75">
      <c r="I14" s="32" t="s">
        <v>50</v>
      </c>
      <c r="J14" s="11">
        <v>535</v>
      </c>
    </row>
    <row r="16" spans="9:10" ht="12.75">
      <c r="I16" s="32" t="s">
        <v>52</v>
      </c>
      <c r="J16" s="11">
        <v>3270.1</v>
      </c>
    </row>
    <row r="18" spans="9:11" ht="12.75">
      <c r="I18" s="32" t="s">
        <v>53</v>
      </c>
      <c r="K18" s="39">
        <f>L4-M4-N4</f>
        <v>16418.9</v>
      </c>
    </row>
  </sheetData>
  <sheetProtection/>
  <mergeCells count="18">
    <mergeCell ref="AQ2:AS2"/>
    <mergeCell ref="AT2:AV2"/>
    <mergeCell ref="W2:AA2"/>
    <mergeCell ref="AB2:AF2"/>
    <mergeCell ref="A1:N1"/>
    <mergeCell ref="BI2:BK2"/>
    <mergeCell ref="AW2:AY2"/>
    <mergeCell ref="AZ2:BB2"/>
    <mergeCell ref="BC2:BE2"/>
    <mergeCell ref="BF2:BH2"/>
    <mergeCell ref="AG2:AK2"/>
    <mergeCell ref="AL2:AP2"/>
    <mergeCell ref="A2:A3"/>
    <mergeCell ref="B2:B3"/>
    <mergeCell ref="C2:C3"/>
    <mergeCell ref="D2:I2"/>
    <mergeCell ref="J2:Q2"/>
    <mergeCell ref="R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8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8" sqref="P8"/>
    </sheetView>
  </sheetViews>
  <sheetFormatPr defaultColWidth="9.00390625" defaultRowHeight="12.75"/>
  <cols>
    <col min="1" max="1" width="29.125" style="11" customWidth="1"/>
    <col min="2" max="2" width="14.375" style="11" customWidth="1"/>
    <col min="3" max="3" width="11.00390625" style="11" customWidth="1"/>
    <col min="4" max="4" width="12.75390625" style="11" customWidth="1"/>
    <col min="5" max="5" width="13.125" style="11" customWidth="1"/>
    <col min="6" max="6" width="13.75390625" style="11" customWidth="1"/>
    <col min="7" max="7" width="10.625" style="6" customWidth="1"/>
    <col min="8" max="8" width="10.625" style="29" customWidth="1"/>
    <col min="9" max="9" width="13.75390625" style="32" customWidth="1"/>
    <col min="10" max="11" width="11.75390625" style="11" customWidth="1"/>
    <col min="12" max="12" width="12.625" style="11" customWidth="1"/>
    <col min="13" max="13" width="12.375" style="29" customWidth="1"/>
    <col min="14" max="14" width="12.375" style="30" customWidth="1"/>
    <col min="15" max="15" width="10.125" style="5" customWidth="1"/>
    <col min="16" max="17" width="10.125" style="32" customWidth="1"/>
    <col min="18" max="18" width="11.25390625" style="11" customWidth="1"/>
    <col min="19" max="19" width="12.375" style="11" customWidth="1"/>
    <col min="20" max="20" width="10.75390625" style="6" customWidth="1"/>
    <col min="21" max="21" width="9.625" style="29" customWidth="1"/>
    <col min="22" max="22" width="11.75390625" style="32" customWidth="1"/>
    <col min="23" max="23" width="12.125" style="11" customWidth="1"/>
    <col min="24" max="24" width="12.625" style="11" customWidth="1"/>
    <col min="25" max="25" width="9.00390625" style="6" customWidth="1"/>
    <col min="26" max="26" width="9.625" style="11" customWidth="1"/>
    <col min="27" max="27" width="12.375" style="6" customWidth="1"/>
    <col min="28" max="28" width="10.125" style="11" customWidth="1"/>
    <col min="29" max="29" width="12.375" style="33" customWidth="1"/>
    <col min="30" max="30" width="10.125" style="6" customWidth="1"/>
    <col min="31" max="31" width="10.125" style="9" customWidth="1"/>
    <col min="32" max="32" width="11.875" style="32" customWidth="1"/>
    <col min="33" max="33" width="12.00390625" style="11" customWidth="1"/>
    <col min="34" max="34" width="15.125" style="11" customWidth="1"/>
    <col min="35" max="35" width="9.125" style="9" customWidth="1"/>
    <col min="36" max="36" width="9.125" style="11" customWidth="1"/>
    <col min="37" max="37" width="11.25390625" style="11" customWidth="1"/>
    <col min="38" max="38" width="15.00390625" style="11" customWidth="1"/>
    <col min="39" max="39" width="12.75390625" style="11" customWidth="1"/>
    <col min="40" max="40" width="9.25390625" style="9" customWidth="1"/>
    <col min="41" max="42" width="10.875" style="32" customWidth="1"/>
    <col min="43" max="43" width="14.625" style="34" customWidth="1"/>
    <col min="44" max="44" width="10.625" style="11" customWidth="1"/>
    <col min="45" max="45" width="8.625" style="11" customWidth="1"/>
    <col min="46" max="47" width="9.125" style="11" customWidth="1"/>
    <col min="48" max="48" width="9.125" style="32" customWidth="1"/>
    <col min="49" max="49" width="14.875" style="11" customWidth="1"/>
    <col min="50" max="50" width="8.875" style="11" customWidth="1"/>
    <col min="51" max="51" width="9.125" style="29" customWidth="1"/>
    <col min="52" max="52" width="15.00390625" style="11" customWidth="1"/>
    <col min="53" max="53" width="9.625" style="6" customWidth="1"/>
    <col min="54" max="54" width="9.375" style="11" customWidth="1"/>
    <col min="55" max="55" width="11.00390625" style="11" customWidth="1"/>
    <col min="56" max="56" width="9.75390625" style="6" customWidth="1"/>
    <col min="57" max="57" width="9.25390625" style="32" customWidth="1"/>
    <col min="58" max="58" width="13.125" style="11" customWidth="1"/>
    <col min="59" max="59" width="10.25390625" style="6" customWidth="1"/>
    <col min="60" max="60" width="11.00390625" style="32" customWidth="1"/>
    <col min="61" max="61" width="12.125" style="11" customWidth="1"/>
    <col min="62" max="62" width="11.625" style="6" customWidth="1"/>
    <col min="63" max="16384" width="9.125" style="11" customWidth="1"/>
  </cols>
  <sheetData>
    <row r="1" spans="1:62" s="1" customFormat="1" ht="57" customHeight="1">
      <c r="A1" s="86" t="s">
        <v>64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5"/>
      <c r="P1" s="4"/>
      <c r="Q1" s="4"/>
      <c r="T1" s="6"/>
      <c r="U1" s="2"/>
      <c r="V1" s="4"/>
      <c r="Y1" s="3"/>
      <c r="AA1" s="3"/>
      <c r="AC1" s="7"/>
      <c r="AD1" s="3"/>
      <c r="AE1" s="8"/>
      <c r="AF1" s="4"/>
      <c r="AI1" s="8"/>
      <c r="AN1" s="9"/>
      <c r="AO1" s="4"/>
      <c r="AP1" s="4"/>
      <c r="AQ1" s="10"/>
      <c r="AV1" s="4"/>
      <c r="AY1" s="2"/>
      <c r="BA1" s="3"/>
      <c r="BD1" s="3"/>
      <c r="BE1" s="4"/>
      <c r="BG1" s="3"/>
      <c r="BH1" s="4"/>
      <c r="BI1" s="11"/>
      <c r="BJ1" s="3"/>
    </row>
    <row r="2" spans="1:63" s="12" customFormat="1" ht="49.5" customHeight="1">
      <c r="A2" s="84" t="s">
        <v>0</v>
      </c>
      <c r="B2" s="84" t="s">
        <v>1</v>
      </c>
      <c r="C2" s="84" t="s">
        <v>2</v>
      </c>
      <c r="D2" s="84" t="s">
        <v>11</v>
      </c>
      <c r="E2" s="84"/>
      <c r="F2" s="84"/>
      <c r="G2" s="84"/>
      <c r="H2" s="84"/>
      <c r="I2" s="84"/>
      <c r="J2" s="85" t="s">
        <v>12</v>
      </c>
      <c r="K2" s="85"/>
      <c r="L2" s="85"/>
      <c r="M2" s="85"/>
      <c r="N2" s="85"/>
      <c r="O2" s="85"/>
      <c r="P2" s="85"/>
      <c r="Q2" s="85"/>
      <c r="R2" s="84" t="s">
        <v>13</v>
      </c>
      <c r="S2" s="84"/>
      <c r="T2" s="84"/>
      <c r="U2" s="84"/>
      <c r="V2" s="84"/>
      <c r="W2" s="84" t="s">
        <v>14</v>
      </c>
      <c r="X2" s="84"/>
      <c r="Y2" s="84"/>
      <c r="Z2" s="84"/>
      <c r="AA2" s="84"/>
      <c r="AB2" s="84" t="s">
        <v>15</v>
      </c>
      <c r="AC2" s="84"/>
      <c r="AD2" s="84"/>
      <c r="AE2" s="84"/>
      <c r="AF2" s="84"/>
      <c r="AG2" s="87" t="s">
        <v>16</v>
      </c>
      <c r="AH2" s="88"/>
      <c r="AI2" s="88"/>
      <c r="AJ2" s="88"/>
      <c r="AK2" s="89"/>
      <c r="AL2" s="87" t="s">
        <v>17</v>
      </c>
      <c r="AM2" s="88"/>
      <c r="AN2" s="88"/>
      <c r="AO2" s="88"/>
      <c r="AP2" s="89"/>
      <c r="AQ2" s="90" t="s">
        <v>18</v>
      </c>
      <c r="AR2" s="90"/>
      <c r="AS2" s="90"/>
      <c r="AT2" s="88" t="s">
        <v>36</v>
      </c>
      <c r="AU2" s="88"/>
      <c r="AV2" s="89"/>
      <c r="AW2" s="84" t="s">
        <v>19</v>
      </c>
      <c r="AX2" s="84"/>
      <c r="AY2" s="84"/>
      <c r="AZ2" s="87" t="s">
        <v>20</v>
      </c>
      <c r="BA2" s="88"/>
      <c r="BB2" s="89"/>
      <c r="BC2" s="87" t="s">
        <v>21</v>
      </c>
      <c r="BD2" s="88"/>
      <c r="BE2" s="89"/>
      <c r="BF2" s="84" t="s">
        <v>22</v>
      </c>
      <c r="BG2" s="84"/>
      <c r="BH2" s="84"/>
      <c r="BI2" s="84" t="s">
        <v>23</v>
      </c>
      <c r="BJ2" s="84"/>
      <c r="BK2" s="84"/>
    </row>
    <row r="3" spans="1:63" s="12" customFormat="1" ht="168.75">
      <c r="A3" s="84"/>
      <c r="B3" s="84"/>
      <c r="C3" s="84"/>
      <c r="D3" s="42" t="s">
        <v>63</v>
      </c>
      <c r="E3" s="46" t="s">
        <v>62</v>
      </c>
      <c r="F3" s="43" t="s">
        <v>24</v>
      </c>
      <c r="G3" s="44" t="s">
        <v>3</v>
      </c>
      <c r="H3" s="45" t="s">
        <v>4</v>
      </c>
      <c r="I3" s="43" t="s">
        <v>60</v>
      </c>
      <c r="J3" s="46" t="s">
        <v>56</v>
      </c>
      <c r="K3" s="46" t="s">
        <v>61</v>
      </c>
      <c r="L3" s="43" t="s">
        <v>55</v>
      </c>
      <c r="M3" s="42" t="s">
        <v>54</v>
      </c>
      <c r="N3" s="46" t="s">
        <v>59</v>
      </c>
      <c r="O3" s="44" t="s">
        <v>3</v>
      </c>
      <c r="P3" s="43" t="s">
        <v>4</v>
      </c>
      <c r="Q3" s="43" t="s">
        <v>60</v>
      </c>
      <c r="R3" s="43" t="s">
        <v>25</v>
      </c>
      <c r="S3" s="43" t="s">
        <v>26</v>
      </c>
      <c r="T3" s="44" t="s">
        <v>3</v>
      </c>
      <c r="U3" s="45" t="s">
        <v>4</v>
      </c>
      <c r="V3" s="43" t="s">
        <v>60</v>
      </c>
      <c r="W3" s="43" t="s">
        <v>27</v>
      </c>
      <c r="X3" s="43" t="s">
        <v>28</v>
      </c>
      <c r="Y3" s="44" t="s">
        <v>3</v>
      </c>
      <c r="Z3" s="43" t="s">
        <v>4</v>
      </c>
      <c r="AA3" s="43" t="s">
        <v>60</v>
      </c>
      <c r="AB3" s="43" t="s">
        <v>65</v>
      </c>
      <c r="AC3" s="43" t="s">
        <v>66</v>
      </c>
      <c r="AD3" s="44" t="s">
        <v>3</v>
      </c>
      <c r="AE3" s="43" t="s">
        <v>4</v>
      </c>
      <c r="AF3" s="43" t="s">
        <v>60</v>
      </c>
      <c r="AG3" s="42" t="s">
        <v>31</v>
      </c>
      <c r="AH3" s="42" t="s">
        <v>32</v>
      </c>
      <c r="AI3" s="47" t="s">
        <v>3</v>
      </c>
      <c r="AJ3" s="43" t="s">
        <v>4</v>
      </c>
      <c r="AK3" s="43" t="s">
        <v>60</v>
      </c>
      <c r="AL3" s="42" t="s">
        <v>34</v>
      </c>
      <c r="AM3" s="42" t="s">
        <v>33</v>
      </c>
      <c r="AN3" s="47" t="s">
        <v>3</v>
      </c>
      <c r="AO3" s="43" t="s">
        <v>4</v>
      </c>
      <c r="AP3" s="43" t="s">
        <v>60</v>
      </c>
      <c r="AQ3" s="48" t="s">
        <v>35</v>
      </c>
      <c r="AR3" s="43" t="s">
        <v>4</v>
      </c>
      <c r="AS3" s="43" t="s">
        <v>60</v>
      </c>
      <c r="AT3" s="48" t="s">
        <v>37</v>
      </c>
      <c r="AU3" s="43" t="s">
        <v>4</v>
      </c>
      <c r="AV3" s="43" t="s">
        <v>60</v>
      </c>
      <c r="AW3" s="48" t="s">
        <v>39</v>
      </c>
      <c r="AX3" s="43" t="s">
        <v>4</v>
      </c>
      <c r="AY3" s="43" t="s">
        <v>60</v>
      </c>
      <c r="AZ3" s="48" t="s">
        <v>38</v>
      </c>
      <c r="BA3" s="43" t="s">
        <v>4</v>
      </c>
      <c r="BB3" s="43" t="s">
        <v>60</v>
      </c>
      <c r="BC3" s="48" t="s">
        <v>40</v>
      </c>
      <c r="BD3" s="43" t="s">
        <v>4</v>
      </c>
      <c r="BE3" s="43" t="s">
        <v>60</v>
      </c>
      <c r="BF3" s="48" t="s">
        <v>41</v>
      </c>
      <c r="BG3" s="43" t="s">
        <v>4</v>
      </c>
      <c r="BH3" s="43" t="s">
        <v>60</v>
      </c>
      <c r="BI3" s="48" t="s">
        <v>42</v>
      </c>
      <c r="BJ3" s="43" t="s">
        <v>4</v>
      </c>
      <c r="BK3" s="43" t="s">
        <v>60</v>
      </c>
    </row>
    <row r="4" spans="1:63" ht="24.75" customHeight="1">
      <c r="A4" s="13" t="s">
        <v>6</v>
      </c>
      <c r="B4" s="14">
        <f aca="true" t="shared" si="0" ref="B4:B9">I4+Q4+V4+AA4+AF4+AK4+AP4+AS4+AV4+AY4+BB4+BE4+BH4+BK4</f>
        <v>23</v>
      </c>
      <c r="C4" s="14">
        <f aca="true" t="shared" si="1" ref="C4:C9">RANK(B4,B$4:B$9)</f>
        <v>2</v>
      </c>
      <c r="D4" s="49">
        <v>27008.5</v>
      </c>
      <c r="E4" s="50">
        <v>49531.1</v>
      </c>
      <c r="F4" s="49">
        <v>90741.1</v>
      </c>
      <c r="G4" s="17">
        <f aca="true" t="shared" si="2" ref="G4:G9">(D4+E4)/(F4)</f>
        <v>0.8434942931042273</v>
      </c>
      <c r="H4" s="28">
        <f aca="true" t="shared" si="3" ref="H4:H9">G4</f>
        <v>0.8434942931042273</v>
      </c>
      <c r="I4" s="20">
        <f aca="true" t="shared" si="4" ref="I4:I9">IF(AND(H4&lt;0.1),-1,IF(OR(AND(H4&gt;=0.1,H4&lt;=0.6),AND(H4&gt;0.6,)),2,5))</f>
        <v>5</v>
      </c>
      <c r="J4" s="49">
        <v>14931.9</v>
      </c>
      <c r="K4" s="49">
        <f>49.6+100+182.1+980+345+113+177.2</f>
        <v>1946.9</v>
      </c>
      <c r="L4" s="49">
        <v>86889.7</v>
      </c>
      <c r="M4" s="49">
        <v>5462.7</v>
      </c>
      <c r="N4" s="55">
        <f>61921.5+282.5</f>
        <v>62204</v>
      </c>
      <c r="O4" s="19">
        <f aca="true" t="shared" si="5" ref="O4:O9">J4/(L4-M4-N4-K4)</f>
        <v>0.8643096532203449</v>
      </c>
      <c r="P4" s="28">
        <f aca="true" t="shared" si="6" ref="P4:P9">O4</f>
        <v>0.8643096532203449</v>
      </c>
      <c r="Q4" s="20">
        <f aca="true" t="shared" si="7" ref="Q4:Q9">IF(AND(P4&lt;0.6),0,IF(OR(AND(P4&gt;=0.6,P4&lt;1),AND(P4=1,)),2,5))</f>
        <v>2</v>
      </c>
      <c r="R4" s="49">
        <v>104</v>
      </c>
      <c r="S4" s="51">
        <v>1</v>
      </c>
      <c r="T4" s="19">
        <f aca="true" t="shared" si="8" ref="T4:T9">R4/(S4*12)</f>
        <v>8.666666666666666</v>
      </c>
      <c r="U4" s="28">
        <f aca="true" t="shared" si="9" ref="U4:U9">T4</f>
        <v>8.666666666666666</v>
      </c>
      <c r="V4" s="20">
        <f aca="true" t="shared" si="10" ref="V4:V9">IF(AND(U4&gt;4),0,IF(OR(AND(U4&gt;=2,U4&lt;=4),AND(U4&lt;2,)),1,2))</f>
        <v>0</v>
      </c>
      <c r="W4" s="58">
        <v>515</v>
      </c>
      <c r="X4" s="59">
        <v>510.5</v>
      </c>
      <c r="Y4" s="19">
        <f aca="true" t="shared" si="11" ref="Y4:Y9">1-(W4/X4)</f>
        <v>-0.008814887365328206</v>
      </c>
      <c r="Z4" s="28">
        <f aca="true" t="shared" si="12" ref="Z4:Z9">Y4</f>
        <v>-0.008814887365328206</v>
      </c>
      <c r="AA4" s="20">
        <f aca="true" t="shared" si="13" ref="AA4:AA9">IF(AND(Z4&gt;0.1),-1,IF(OR(AND(Z4&gt;=0.1),AND(Z4&lt;0.05,)),1,3))</f>
        <v>3</v>
      </c>
      <c r="AB4" s="49">
        <v>52.75</v>
      </c>
      <c r="AC4" s="49">
        <v>51.75</v>
      </c>
      <c r="AD4" s="19">
        <f aca="true" t="shared" si="14" ref="AD4:AD9">AB4/AC4</f>
        <v>1.0193236714975846</v>
      </c>
      <c r="AE4" s="28">
        <f aca="true" t="shared" si="15" ref="AE4:AE9">AD4</f>
        <v>1.0193236714975846</v>
      </c>
      <c r="AF4" s="36">
        <f aca="true" t="shared" si="16" ref="AF4:AF9">IF(AND(AE4&gt;0.9),5,IF(OR(AND(AE4&lt;=0.9),),0))</f>
        <v>5</v>
      </c>
      <c r="AG4" s="54">
        <v>25938.6</v>
      </c>
      <c r="AH4" s="54">
        <v>27008.5</v>
      </c>
      <c r="AI4" s="24">
        <f aca="true" t="shared" si="17" ref="AI4:AI12">AG4/AH4</f>
        <v>0.9603865449765814</v>
      </c>
      <c r="AJ4" s="31">
        <f aca="true" t="shared" si="18" ref="AJ4:AJ12">AI4</f>
        <v>0.9603865449765814</v>
      </c>
      <c r="AK4" s="20">
        <f aca="true" t="shared" si="19" ref="AK4:AK12">IF(AND(AJ4&gt;0.95),5,IF(OR(AND(AJ4&lt;=0.95),),0))</f>
        <v>5</v>
      </c>
      <c r="AL4" s="55">
        <v>65421.3</v>
      </c>
      <c r="AM4" s="55">
        <v>67186.6</v>
      </c>
      <c r="AN4" s="24">
        <f aca="true" t="shared" si="20" ref="AN4:AN9">AL4/AM4</f>
        <v>0.9737254154846353</v>
      </c>
      <c r="AO4" s="31">
        <f aca="true" t="shared" si="21" ref="AO4:AO9">AN4</f>
        <v>0.9737254154846353</v>
      </c>
      <c r="AP4" s="20">
        <f aca="true" t="shared" si="22" ref="AP4:AP9">IF(AND(AO4&gt;0.9),3,IF(OR(AND(AO4&lt;=0.9),),0))</f>
        <v>3</v>
      </c>
      <c r="AQ4" s="26">
        <v>3</v>
      </c>
      <c r="AR4" s="18" t="s">
        <v>5</v>
      </c>
      <c r="AS4" s="20">
        <f aca="true" t="shared" si="23" ref="AS4:AS9">IF(AQ4&lt;=0,3,0)</f>
        <v>0</v>
      </c>
      <c r="AT4" s="26">
        <v>0</v>
      </c>
      <c r="AU4" s="18" t="s">
        <v>5</v>
      </c>
      <c r="AV4" s="20">
        <f aca="true" t="shared" si="24" ref="AV4:AV9">IF(AT4&lt;=0,0,-1)</f>
        <v>0</v>
      </c>
      <c r="AW4" s="26">
        <v>0</v>
      </c>
      <c r="AX4" s="18" t="s">
        <v>5</v>
      </c>
      <c r="AY4" s="20">
        <f aca="true" t="shared" si="25" ref="AY4:AY9">IF(AW4&lt;=0,0,-1)</f>
        <v>0</v>
      </c>
      <c r="AZ4" s="26">
        <v>0</v>
      </c>
      <c r="BA4" s="18" t="s">
        <v>5</v>
      </c>
      <c r="BB4" s="20">
        <f aca="true" t="shared" si="26" ref="BB4:BB9">IF(AZ4&lt;=0,0,-1)</f>
        <v>0</v>
      </c>
      <c r="BC4" s="26">
        <v>0</v>
      </c>
      <c r="BD4" s="18" t="s">
        <v>5</v>
      </c>
      <c r="BE4" s="20">
        <f aca="true" t="shared" si="27" ref="BE4:BE9">IF(BC4&lt;=0,0,-1)</f>
        <v>0</v>
      </c>
      <c r="BF4" s="60">
        <v>0</v>
      </c>
      <c r="BG4" s="18" t="s">
        <v>5</v>
      </c>
      <c r="BH4" s="20">
        <f aca="true" t="shared" si="28" ref="BH4:BH9">IF(BF4&lt;=0,0,-1)</f>
        <v>0</v>
      </c>
      <c r="BI4" s="26">
        <v>0</v>
      </c>
      <c r="BJ4" s="18" t="s">
        <v>5</v>
      </c>
      <c r="BK4" s="20">
        <f aca="true" t="shared" si="29" ref="BK4:BK9">IF(BI4&lt;=0,0,-1)</f>
        <v>0</v>
      </c>
    </row>
    <row r="5" spans="1:63" ht="24.75" customHeight="1">
      <c r="A5" s="13" t="s">
        <v>7</v>
      </c>
      <c r="B5" s="14">
        <f t="shared" si="0"/>
        <v>22</v>
      </c>
      <c r="C5" s="14">
        <f t="shared" si="1"/>
        <v>4</v>
      </c>
      <c r="D5" s="49">
        <v>2110.2</v>
      </c>
      <c r="E5" s="50">
        <v>251718.2</v>
      </c>
      <c r="F5" s="49">
        <v>263698.4</v>
      </c>
      <c r="G5" s="17">
        <f t="shared" si="2"/>
        <v>0.9625708764254921</v>
      </c>
      <c r="H5" s="28">
        <f t="shared" si="3"/>
        <v>0.9625708764254921</v>
      </c>
      <c r="I5" s="20">
        <f t="shared" si="4"/>
        <v>5</v>
      </c>
      <c r="J5" s="49">
        <v>105404</v>
      </c>
      <c r="K5" s="49"/>
      <c r="L5" s="49">
        <v>248093.2</v>
      </c>
      <c r="M5" s="49">
        <v>1631.3</v>
      </c>
      <c r="N5" s="55">
        <v>127200</v>
      </c>
      <c r="O5" s="19">
        <f t="shared" si="5"/>
        <v>0.8838027903295184</v>
      </c>
      <c r="P5" s="28">
        <f t="shared" si="6"/>
        <v>0.8838027903295184</v>
      </c>
      <c r="Q5" s="20">
        <f t="shared" si="7"/>
        <v>2</v>
      </c>
      <c r="R5" s="49">
        <f>790+536+84</f>
        <v>1410</v>
      </c>
      <c r="S5" s="51">
        <v>27</v>
      </c>
      <c r="T5" s="19">
        <f t="shared" si="8"/>
        <v>4.351851851851852</v>
      </c>
      <c r="U5" s="28">
        <f t="shared" si="9"/>
        <v>4.351851851851852</v>
      </c>
      <c r="V5" s="20">
        <f t="shared" si="10"/>
        <v>0</v>
      </c>
      <c r="W5" s="58">
        <v>21367.7</v>
      </c>
      <c r="X5" s="59">
        <v>21371.7</v>
      </c>
      <c r="Y5" s="19">
        <f t="shared" si="11"/>
        <v>0.00018716339832580697</v>
      </c>
      <c r="Z5" s="28">
        <f t="shared" si="12"/>
        <v>0.00018716339832580697</v>
      </c>
      <c r="AA5" s="20">
        <f t="shared" si="13"/>
        <v>3</v>
      </c>
      <c r="AB5" s="49">
        <f>1352+2626+2508+45+3</f>
        <v>6534</v>
      </c>
      <c r="AC5" s="49">
        <f>1352+2687+2508+45+3</f>
        <v>6595</v>
      </c>
      <c r="AD5" s="19">
        <f t="shared" si="14"/>
        <v>0.9907505686125853</v>
      </c>
      <c r="AE5" s="28">
        <f t="shared" si="15"/>
        <v>0.9907505686125853</v>
      </c>
      <c r="AF5" s="36">
        <f t="shared" si="16"/>
        <v>5</v>
      </c>
      <c r="AG5" s="54">
        <v>2110.2</v>
      </c>
      <c r="AH5" s="54">
        <v>2110.2</v>
      </c>
      <c r="AI5" s="24">
        <f t="shared" si="17"/>
        <v>1</v>
      </c>
      <c r="AJ5" s="31">
        <f t="shared" si="18"/>
        <v>1</v>
      </c>
      <c r="AK5" s="20">
        <f t="shared" si="19"/>
        <v>5</v>
      </c>
      <c r="AL5" s="55">
        <v>160306</v>
      </c>
      <c r="AM5" s="55">
        <v>160369</v>
      </c>
      <c r="AN5" s="24">
        <f t="shared" si="20"/>
        <v>0.9996071559964831</v>
      </c>
      <c r="AO5" s="31">
        <f t="shared" si="21"/>
        <v>0.9996071559964831</v>
      </c>
      <c r="AP5" s="20">
        <f t="shared" si="22"/>
        <v>3</v>
      </c>
      <c r="AQ5" s="26">
        <v>78</v>
      </c>
      <c r="AR5" s="18" t="s">
        <v>5</v>
      </c>
      <c r="AS5" s="20">
        <f t="shared" si="23"/>
        <v>0</v>
      </c>
      <c r="AT5" s="26">
        <v>0</v>
      </c>
      <c r="AU5" s="18" t="s">
        <v>5</v>
      </c>
      <c r="AV5" s="20">
        <f t="shared" si="24"/>
        <v>0</v>
      </c>
      <c r="AW5" s="26">
        <v>0</v>
      </c>
      <c r="AX5" s="18" t="s">
        <v>5</v>
      </c>
      <c r="AY5" s="20">
        <f t="shared" si="25"/>
        <v>0</v>
      </c>
      <c r="AZ5" s="26">
        <v>0</v>
      </c>
      <c r="BA5" s="18" t="s">
        <v>5</v>
      </c>
      <c r="BB5" s="20">
        <f t="shared" si="26"/>
        <v>0</v>
      </c>
      <c r="BC5" s="26">
        <v>0</v>
      </c>
      <c r="BD5" s="18" t="s">
        <v>5</v>
      </c>
      <c r="BE5" s="20">
        <f t="shared" si="27"/>
        <v>0</v>
      </c>
      <c r="BF5" s="60">
        <v>0</v>
      </c>
      <c r="BG5" s="18" t="s">
        <v>5</v>
      </c>
      <c r="BH5" s="20">
        <f t="shared" si="28"/>
        <v>0</v>
      </c>
      <c r="BI5" s="26">
        <v>1</v>
      </c>
      <c r="BJ5" s="18" t="s">
        <v>5</v>
      </c>
      <c r="BK5" s="20">
        <f t="shared" si="29"/>
        <v>-1</v>
      </c>
    </row>
    <row r="6" spans="1:63" ht="24.75" customHeight="1">
      <c r="A6" s="13" t="s">
        <v>8</v>
      </c>
      <c r="B6" s="14">
        <f t="shared" si="0"/>
        <v>22</v>
      </c>
      <c r="C6" s="14">
        <f t="shared" si="1"/>
        <v>4</v>
      </c>
      <c r="D6" s="49">
        <v>1941</v>
      </c>
      <c r="E6" s="50">
        <v>42527.4</v>
      </c>
      <c r="F6" s="49">
        <v>44595.7</v>
      </c>
      <c r="G6" s="17">
        <f t="shared" si="2"/>
        <v>0.9971454646972692</v>
      </c>
      <c r="H6" s="28">
        <f t="shared" si="3"/>
        <v>0.9971454646972692</v>
      </c>
      <c r="I6" s="20">
        <f t="shared" si="4"/>
        <v>5</v>
      </c>
      <c r="J6" s="49">
        <v>39170.7</v>
      </c>
      <c r="K6" s="49"/>
      <c r="L6" s="49">
        <v>42830.7</v>
      </c>
      <c r="M6" s="49">
        <v>1650</v>
      </c>
      <c r="N6" s="55">
        <v>1360.4</v>
      </c>
      <c r="O6" s="19">
        <f t="shared" si="5"/>
        <v>0.9836867125561586</v>
      </c>
      <c r="P6" s="28">
        <f t="shared" si="6"/>
        <v>0.9836867125561586</v>
      </c>
      <c r="Q6" s="20">
        <f t="shared" si="7"/>
        <v>2</v>
      </c>
      <c r="R6" s="49">
        <f>45+66+155+29</f>
        <v>295</v>
      </c>
      <c r="S6" s="51">
        <v>9</v>
      </c>
      <c r="T6" s="19">
        <f t="shared" si="8"/>
        <v>2.7314814814814814</v>
      </c>
      <c r="U6" s="28">
        <f t="shared" si="9"/>
        <v>2.7314814814814814</v>
      </c>
      <c r="V6" s="20">
        <f t="shared" si="10"/>
        <v>1</v>
      </c>
      <c r="W6" s="58">
        <v>2555.6</v>
      </c>
      <c r="X6" s="59">
        <v>2602.7</v>
      </c>
      <c r="Y6" s="19">
        <f t="shared" si="11"/>
        <v>0.018096592000614753</v>
      </c>
      <c r="Z6" s="28">
        <f t="shared" si="12"/>
        <v>0.018096592000614753</v>
      </c>
      <c r="AA6" s="20">
        <f t="shared" si="13"/>
        <v>3</v>
      </c>
      <c r="AB6" s="49">
        <f>214+3.088+401+1802+8+4</f>
        <v>2432.0879999999997</v>
      </c>
      <c r="AC6" s="49">
        <f>212.3+3.2+432+1790+8+4</f>
        <v>2449.5</v>
      </c>
      <c r="AD6" s="19">
        <f t="shared" si="14"/>
        <v>0.9928916105327616</v>
      </c>
      <c r="AE6" s="28">
        <f t="shared" si="15"/>
        <v>0.9928916105327616</v>
      </c>
      <c r="AF6" s="36">
        <f t="shared" si="16"/>
        <v>5</v>
      </c>
      <c r="AG6" s="54">
        <v>1941</v>
      </c>
      <c r="AH6" s="54">
        <v>1941</v>
      </c>
      <c r="AI6" s="24">
        <f t="shared" si="17"/>
        <v>1</v>
      </c>
      <c r="AJ6" s="31">
        <f t="shared" si="18"/>
        <v>1</v>
      </c>
      <c r="AK6" s="20">
        <f t="shared" si="19"/>
        <v>5</v>
      </c>
      <c r="AL6" s="55">
        <v>10257.1</v>
      </c>
      <c r="AM6" s="55">
        <v>10419.7</v>
      </c>
      <c r="AN6" s="24">
        <f t="shared" si="20"/>
        <v>0.9843949441922512</v>
      </c>
      <c r="AO6" s="31">
        <f t="shared" si="21"/>
        <v>0.9843949441922512</v>
      </c>
      <c r="AP6" s="20">
        <f t="shared" si="22"/>
        <v>3</v>
      </c>
      <c r="AQ6" s="26">
        <v>14</v>
      </c>
      <c r="AR6" s="18" t="s">
        <v>5</v>
      </c>
      <c r="AS6" s="20">
        <f t="shared" si="23"/>
        <v>0</v>
      </c>
      <c r="AT6" s="26">
        <v>0</v>
      </c>
      <c r="AU6" s="18" t="s">
        <v>5</v>
      </c>
      <c r="AV6" s="20">
        <f t="shared" si="24"/>
        <v>0</v>
      </c>
      <c r="AW6" s="26">
        <v>1</v>
      </c>
      <c r="AX6" s="18" t="s">
        <v>5</v>
      </c>
      <c r="AY6" s="20">
        <f t="shared" si="25"/>
        <v>-1</v>
      </c>
      <c r="AZ6" s="26">
        <v>1</v>
      </c>
      <c r="BA6" s="18" t="s">
        <v>5</v>
      </c>
      <c r="BB6" s="20">
        <f t="shared" si="26"/>
        <v>-1</v>
      </c>
      <c r="BC6" s="26">
        <v>0</v>
      </c>
      <c r="BD6" s="18" t="s">
        <v>5</v>
      </c>
      <c r="BE6" s="20">
        <f t="shared" si="27"/>
        <v>0</v>
      </c>
      <c r="BF6" s="60">
        <v>0</v>
      </c>
      <c r="BG6" s="18" t="s">
        <v>5</v>
      </c>
      <c r="BH6" s="20">
        <f t="shared" si="28"/>
        <v>0</v>
      </c>
      <c r="BI6" s="60">
        <v>0</v>
      </c>
      <c r="BJ6" s="18" t="s">
        <v>5</v>
      </c>
      <c r="BK6" s="20">
        <f t="shared" si="29"/>
        <v>0</v>
      </c>
    </row>
    <row r="7" spans="1:63" ht="24.75" customHeight="1">
      <c r="A7" s="13" t="s">
        <v>9</v>
      </c>
      <c r="B7" s="14">
        <f t="shared" si="0"/>
        <v>31</v>
      </c>
      <c r="C7" s="14">
        <f t="shared" si="1"/>
        <v>1</v>
      </c>
      <c r="D7" s="49">
        <v>0</v>
      </c>
      <c r="E7" s="50">
        <v>79523.9</v>
      </c>
      <c r="F7" s="49">
        <v>79568.9</v>
      </c>
      <c r="G7" s="17">
        <f t="shared" si="2"/>
        <v>0.9994344524053996</v>
      </c>
      <c r="H7" s="28">
        <f t="shared" si="3"/>
        <v>0.9994344524053996</v>
      </c>
      <c r="I7" s="20">
        <f t="shared" si="4"/>
        <v>5</v>
      </c>
      <c r="J7" s="49">
        <v>4100.2</v>
      </c>
      <c r="K7" s="49">
        <v>2600</v>
      </c>
      <c r="L7" s="49">
        <v>21423.8</v>
      </c>
      <c r="M7" s="49">
        <v>0</v>
      </c>
      <c r="N7" s="55">
        <f>3439.9+11283.8</f>
        <v>14723.699999999999</v>
      </c>
      <c r="O7" s="19">
        <f t="shared" si="5"/>
        <v>1.0000243896490328</v>
      </c>
      <c r="P7" s="28">
        <f t="shared" si="6"/>
        <v>1.0000243896490328</v>
      </c>
      <c r="Q7" s="20">
        <f t="shared" si="7"/>
        <v>5</v>
      </c>
      <c r="R7" s="49">
        <v>30</v>
      </c>
      <c r="S7" s="51">
        <v>10</v>
      </c>
      <c r="T7" s="19">
        <f t="shared" si="8"/>
        <v>0.25</v>
      </c>
      <c r="U7" s="28">
        <f t="shared" si="9"/>
        <v>0.25</v>
      </c>
      <c r="V7" s="20">
        <f t="shared" si="10"/>
        <v>2</v>
      </c>
      <c r="W7" s="56">
        <v>0</v>
      </c>
      <c r="X7" s="57">
        <v>0</v>
      </c>
      <c r="Y7" s="19">
        <v>0</v>
      </c>
      <c r="Z7" s="28">
        <f t="shared" si="12"/>
        <v>0</v>
      </c>
      <c r="AA7" s="20">
        <f t="shared" si="13"/>
        <v>3</v>
      </c>
      <c r="AB7" s="52">
        <v>15</v>
      </c>
      <c r="AC7" s="53">
        <v>15</v>
      </c>
      <c r="AD7" s="19">
        <f t="shared" si="14"/>
        <v>1</v>
      </c>
      <c r="AE7" s="28">
        <f t="shared" si="15"/>
        <v>1</v>
      </c>
      <c r="AF7" s="36">
        <f t="shared" si="16"/>
        <v>5</v>
      </c>
      <c r="AG7" s="52">
        <v>0.01</v>
      </c>
      <c r="AH7" s="53">
        <v>0.01</v>
      </c>
      <c r="AI7" s="24">
        <f t="shared" si="17"/>
        <v>1</v>
      </c>
      <c r="AJ7" s="31">
        <f t="shared" si="18"/>
        <v>1</v>
      </c>
      <c r="AK7" s="20">
        <f t="shared" si="19"/>
        <v>5</v>
      </c>
      <c r="AL7" s="55">
        <v>31592</v>
      </c>
      <c r="AM7" s="55">
        <v>31808.2</v>
      </c>
      <c r="AN7" s="24">
        <f t="shared" si="20"/>
        <v>0.9932030105444508</v>
      </c>
      <c r="AO7" s="31">
        <f t="shared" si="21"/>
        <v>0.9932030105444508</v>
      </c>
      <c r="AP7" s="20">
        <f t="shared" si="22"/>
        <v>3</v>
      </c>
      <c r="AQ7" s="26">
        <v>0</v>
      </c>
      <c r="AR7" s="18" t="s">
        <v>5</v>
      </c>
      <c r="AS7" s="20">
        <f t="shared" si="23"/>
        <v>3</v>
      </c>
      <c r="AT7" s="26">
        <v>0</v>
      </c>
      <c r="AU7" s="18" t="s">
        <v>5</v>
      </c>
      <c r="AV7" s="20">
        <f t="shared" si="24"/>
        <v>0</v>
      </c>
      <c r="AW7" s="26">
        <v>0</v>
      </c>
      <c r="AX7" s="18" t="s">
        <v>5</v>
      </c>
      <c r="AY7" s="20">
        <f t="shared" si="25"/>
        <v>0</v>
      </c>
      <c r="AZ7" s="26">
        <v>0</v>
      </c>
      <c r="BA7" s="18" t="s">
        <v>5</v>
      </c>
      <c r="BB7" s="20">
        <f t="shared" si="26"/>
        <v>0</v>
      </c>
      <c r="BC7" s="26">
        <v>0</v>
      </c>
      <c r="BD7" s="18" t="s">
        <v>5</v>
      </c>
      <c r="BE7" s="20">
        <f t="shared" si="27"/>
        <v>0</v>
      </c>
      <c r="BF7" s="60">
        <v>0</v>
      </c>
      <c r="BG7" s="18" t="s">
        <v>5</v>
      </c>
      <c r="BH7" s="20">
        <f t="shared" si="28"/>
        <v>0</v>
      </c>
      <c r="BI7" s="60">
        <v>0</v>
      </c>
      <c r="BJ7" s="18" t="s">
        <v>5</v>
      </c>
      <c r="BK7" s="20">
        <f t="shared" si="29"/>
        <v>0</v>
      </c>
    </row>
    <row r="8" spans="1:63" s="1" customFormat="1" ht="24.75" customHeight="1">
      <c r="A8" s="13" t="s">
        <v>10</v>
      </c>
      <c r="B8" s="14">
        <f t="shared" si="0"/>
        <v>23</v>
      </c>
      <c r="C8" s="14">
        <f t="shared" si="1"/>
        <v>2</v>
      </c>
      <c r="D8" s="49">
        <v>2926.6</v>
      </c>
      <c r="E8" s="50">
        <v>0</v>
      </c>
      <c r="F8" s="49">
        <v>9883</v>
      </c>
      <c r="G8" s="17">
        <f t="shared" si="2"/>
        <v>0.29612465850450265</v>
      </c>
      <c r="H8" s="28">
        <f t="shared" si="3"/>
        <v>0.29612465850450265</v>
      </c>
      <c r="I8" s="20">
        <f t="shared" si="4"/>
        <v>2</v>
      </c>
      <c r="J8" s="49">
        <v>0</v>
      </c>
      <c r="K8" s="49">
        <v>90</v>
      </c>
      <c r="L8" s="49">
        <v>2277.9</v>
      </c>
      <c r="M8" s="49">
        <v>2187.9</v>
      </c>
      <c r="N8" s="55">
        <v>90</v>
      </c>
      <c r="O8" s="19">
        <f t="shared" si="5"/>
        <v>0</v>
      </c>
      <c r="P8" s="28">
        <v>1</v>
      </c>
      <c r="Q8" s="20">
        <f t="shared" si="7"/>
        <v>5</v>
      </c>
      <c r="R8" s="49">
        <v>38</v>
      </c>
      <c r="S8" s="51">
        <v>1</v>
      </c>
      <c r="T8" s="19">
        <f t="shared" si="8"/>
        <v>3.1666666666666665</v>
      </c>
      <c r="U8" s="28">
        <f t="shared" si="9"/>
        <v>3.1666666666666665</v>
      </c>
      <c r="V8" s="20">
        <f t="shared" si="10"/>
        <v>1</v>
      </c>
      <c r="W8" s="58">
        <v>7915.8</v>
      </c>
      <c r="X8" s="59">
        <v>7755.7</v>
      </c>
      <c r="Y8" s="19">
        <f t="shared" si="11"/>
        <v>-0.02064288200936093</v>
      </c>
      <c r="Z8" s="28">
        <f t="shared" si="12"/>
        <v>-0.02064288200936093</v>
      </c>
      <c r="AA8" s="20">
        <f t="shared" si="13"/>
        <v>3</v>
      </c>
      <c r="AB8" s="52">
        <v>0.01</v>
      </c>
      <c r="AC8" s="53">
        <v>0.01</v>
      </c>
      <c r="AD8" s="19">
        <f t="shared" si="14"/>
        <v>1</v>
      </c>
      <c r="AE8" s="28">
        <f t="shared" si="15"/>
        <v>1</v>
      </c>
      <c r="AF8" s="36">
        <f t="shared" si="16"/>
        <v>5</v>
      </c>
      <c r="AG8" s="54">
        <v>2926.6</v>
      </c>
      <c r="AH8" s="54">
        <v>2926.6</v>
      </c>
      <c r="AI8" s="24">
        <f t="shared" si="17"/>
        <v>1</v>
      </c>
      <c r="AJ8" s="31">
        <f t="shared" si="18"/>
        <v>1</v>
      </c>
      <c r="AK8" s="20">
        <f t="shared" si="19"/>
        <v>5</v>
      </c>
      <c r="AL8" s="55">
        <v>3180</v>
      </c>
      <c r="AM8" s="55">
        <v>6133.3</v>
      </c>
      <c r="AN8" s="24">
        <f t="shared" si="20"/>
        <v>0.5184810787015147</v>
      </c>
      <c r="AO8" s="31">
        <f t="shared" si="21"/>
        <v>0.5184810787015147</v>
      </c>
      <c r="AP8" s="20">
        <f t="shared" si="22"/>
        <v>0</v>
      </c>
      <c r="AQ8" s="26">
        <v>0</v>
      </c>
      <c r="AR8" s="18" t="s">
        <v>5</v>
      </c>
      <c r="AS8" s="20">
        <f t="shared" si="23"/>
        <v>3</v>
      </c>
      <c r="AT8" s="26">
        <v>0</v>
      </c>
      <c r="AU8" s="18" t="s">
        <v>5</v>
      </c>
      <c r="AV8" s="20">
        <f t="shared" si="24"/>
        <v>0</v>
      </c>
      <c r="AW8" s="26">
        <v>0</v>
      </c>
      <c r="AX8" s="18" t="s">
        <v>5</v>
      </c>
      <c r="AY8" s="20">
        <f t="shared" si="25"/>
        <v>0</v>
      </c>
      <c r="AZ8" s="26">
        <v>1</v>
      </c>
      <c r="BA8" s="18" t="s">
        <v>5</v>
      </c>
      <c r="BB8" s="20">
        <f t="shared" si="26"/>
        <v>-1</v>
      </c>
      <c r="BC8" s="26">
        <v>0</v>
      </c>
      <c r="BD8" s="18" t="s">
        <v>5</v>
      </c>
      <c r="BE8" s="20">
        <f t="shared" si="27"/>
        <v>0</v>
      </c>
      <c r="BF8" s="60">
        <v>0</v>
      </c>
      <c r="BG8" s="18" t="s">
        <v>5</v>
      </c>
      <c r="BH8" s="20">
        <f t="shared" si="28"/>
        <v>0</v>
      </c>
      <c r="BI8" s="26">
        <v>0</v>
      </c>
      <c r="BJ8" s="18" t="s">
        <v>5</v>
      </c>
      <c r="BK8" s="20">
        <f t="shared" si="29"/>
        <v>0</v>
      </c>
    </row>
    <row r="9" spans="1:63" s="1" customFormat="1" ht="24.75" customHeight="1">
      <c r="A9" s="13" t="s">
        <v>44</v>
      </c>
      <c r="B9" s="14">
        <f t="shared" si="0"/>
        <v>22</v>
      </c>
      <c r="C9" s="14">
        <f t="shared" si="1"/>
        <v>4</v>
      </c>
      <c r="D9" s="49">
        <v>0</v>
      </c>
      <c r="E9" s="50">
        <v>0</v>
      </c>
      <c r="F9" s="49">
        <v>3166</v>
      </c>
      <c r="G9" s="17">
        <f t="shared" si="2"/>
        <v>0</v>
      </c>
      <c r="H9" s="28">
        <f t="shared" si="3"/>
        <v>0</v>
      </c>
      <c r="I9" s="20">
        <f t="shared" si="4"/>
        <v>-1</v>
      </c>
      <c r="J9" s="49">
        <f>3959.6-700</f>
        <v>3259.6</v>
      </c>
      <c r="K9" s="49">
        <v>0</v>
      </c>
      <c r="L9" s="49">
        <v>3290.9</v>
      </c>
      <c r="M9" s="49">
        <v>0</v>
      </c>
      <c r="N9" s="55">
        <v>0</v>
      </c>
      <c r="O9" s="19">
        <f t="shared" si="5"/>
        <v>0.9904889240025524</v>
      </c>
      <c r="P9" s="28">
        <f t="shared" si="6"/>
        <v>0.9904889240025524</v>
      </c>
      <c r="Q9" s="20">
        <f t="shared" si="7"/>
        <v>2</v>
      </c>
      <c r="R9" s="49">
        <v>21</v>
      </c>
      <c r="S9" s="51">
        <v>1</v>
      </c>
      <c r="T9" s="19">
        <f t="shared" si="8"/>
        <v>1.75</v>
      </c>
      <c r="U9" s="28">
        <f t="shared" si="9"/>
        <v>1.75</v>
      </c>
      <c r="V9" s="20">
        <f t="shared" si="10"/>
        <v>2</v>
      </c>
      <c r="W9" s="58">
        <v>6.9</v>
      </c>
      <c r="X9" s="59">
        <v>6.9</v>
      </c>
      <c r="Y9" s="19">
        <f t="shared" si="11"/>
        <v>0</v>
      </c>
      <c r="Z9" s="28">
        <f t="shared" si="12"/>
        <v>0</v>
      </c>
      <c r="AA9" s="20">
        <f t="shared" si="13"/>
        <v>3</v>
      </c>
      <c r="AB9" s="52">
        <v>8.3</v>
      </c>
      <c r="AC9" s="53">
        <v>8.25</v>
      </c>
      <c r="AD9" s="19">
        <f t="shared" si="14"/>
        <v>1.006060606060606</v>
      </c>
      <c r="AE9" s="28">
        <f t="shared" si="15"/>
        <v>1.006060606060606</v>
      </c>
      <c r="AF9" s="36">
        <f t="shared" si="16"/>
        <v>5</v>
      </c>
      <c r="AG9" s="52">
        <v>0.01</v>
      </c>
      <c r="AH9" s="52">
        <v>0.01</v>
      </c>
      <c r="AI9" s="24">
        <f t="shared" si="17"/>
        <v>1</v>
      </c>
      <c r="AJ9" s="31">
        <f t="shared" si="18"/>
        <v>1</v>
      </c>
      <c r="AK9" s="20">
        <f t="shared" si="19"/>
        <v>5</v>
      </c>
      <c r="AL9" s="55">
        <v>98.3</v>
      </c>
      <c r="AM9" s="55">
        <v>98.3</v>
      </c>
      <c r="AN9" s="24">
        <f t="shared" si="20"/>
        <v>1</v>
      </c>
      <c r="AO9" s="31">
        <f t="shared" si="21"/>
        <v>1</v>
      </c>
      <c r="AP9" s="20">
        <f t="shared" si="22"/>
        <v>3</v>
      </c>
      <c r="AQ9" s="26">
        <v>0</v>
      </c>
      <c r="AR9" s="18" t="s">
        <v>5</v>
      </c>
      <c r="AS9" s="20">
        <f t="shared" si="23"/>
        <v>3</v>
      </c>
      <c r="AT9" s="26">
        <v>0</v>
      </c>
      <c r="AU9" s="18" t="s">
        <v>5</v>
      </c>
      <c r="AV9" s="20">
        <f t="shared" si="24"/>
        <v>0</v>
      </c>
      <c r="AW9" s="26">
        <v>0</v>
      </c>
      <c r="AX9" s="18" t="s">
        <v>5</v>
      </c>
      <c r="AY9" s="20">
        <f t="shared" si="25"/>
        <v>0</v>
      </c>
      <c r="AZ9" s="26">
        <v>0</v>
      </c>
      <c r="BA9" s="18" t="s">
        <v>5</v>
      </c>
      <c r="BB9" s="20">
        <f t="shared" si="26"/>
        <v>0</v>
      </c>
      <c r="BC9" s="26">
        <v>0</v>
      </c>
      <c r="BD9" s="18" t="s">
        <v>5</v>
      </c>
      <c r="BE9" s="20">
        <f t="shared" si="27"/>
        <v>0</v>
      </c>
      <c r="BF9" s="60">
        <v>0</v>
      </c>
      <c r="BG9" s="18" t="s">
        <v>5</v>
      </c>
      <c r="BH9" s="20">
        <f t="shared" si="28"/>
        <v>0</v>
      </c>
      <c r="BI9" s="26">
        <v>0</v>
      </c>
      <c r="BJ9" s="18" t="s">
        <v>5</v>
      </c>
      <c r="BK9" s="20">
        <f t="shared" si="29"/>
        <v>0</v>
      </c>
    </row>
    <row r="10" spans="28:42" ht="12.75">
      <c r="AB10" s="11" t="s">
        <v>67</v>
      </c>
      <c r="AL10" s="11">
        <v>0</v>
      </c>
      <c r="AM10" s="11">
        <v>0</v>
      </c>
      <c r="AN10" s="24"/>
      <c r="AO10" s="31"/>
      <c r="AP10" s="18"/>
    </row>
    <row r="11" spans="10:28" ht="12.75">
      <c r="J11" s="11" t="s">
        <v>51</v>
      </c>
      <c r="N11" s="30" t="s">
        <v>57</v>
      </c>
      <c r="O11" s="5">
        <v>11283.8</v>
      </c>
      <c r="AB11" s="11" t="s">
        <v>68</v>
      </c>
    </row>
    <row r="12" spans="1:39" ht="12.75">
      <c r="A12" s="11" t="s">
        <v>46</v>
      </c>
      <c r="AG12" s="11">
        <v>32916.4</v>
      </c>
      <c r="AH12" s="11">
        <v>33986.3</v>
      </c>
      <c r="AI12" s="9">
        <f t="shared" si="17"/>
        <v>0.9685196682192531</v>
      </c>
      <c r="AJ12" s="11">
        <f t="shared" si="18"/>
        <v>0.9685196682192531</v>
      </c>
      <c r="AK12" s="11">
        <f t="shared" si="19"/>
        <v>5</v>
      </c>
      <c r="AL12" s="11">
        <v>270854.7</v>
      </c>
      <c r="AM12" s="11">
        <v>276015.1</v>
      </c>
    </row>
    <row r="14" spans="14:38" ht="12.75">
      <c r="N14" s="30" t="s">
        <v>70</v>
      </c>
      <c r="AL14" s="32" t="s">
        <v>69</v>
      </c>
    </row>
    <row r="18" ht="12.75">
      <c r="K18" s="39"/>
    </row>
  </sheetData>
  <sheetProtection/>
  <mergeCells count="18">
    <mergeCell ref="AZ2:BB2"/>
    <mergeCell ref="BC2:BE2"/>
    <mergeCell ref="BF2:BH2"/>
    <mergeCell ref="BI2:BK2"/>
    <mergeCell ref="R2:V2"/>
    <mergeCell ref="W2:AA2"/>
    <mergeCell ref="AB2:AF2"/>
    <mergeCell ref="AG2:AK2"/>
    <mergeCell ref="AL2:AP2"/>
    <mergeCell ref="AQ2:AS2"/>
    <mergeCell ref="AT2:AV2"/>
    <mergeCell ref="AW2:AY2"/>
    <mergeCell ref="A1:N1"/>
    <mergeCell ref="A2:A3"/>
    <mergeCell ref="B2:B3"/>
    <mergeCell ref="C2:C3"/>
    <mergeCell ref="D2:I2"/>
    <mergeCell ref="J2: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8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" sqref="C7"/>
    </sheetView>
  </sheetViews>
  <sheetFormatPr defaultColWidth="9.00390625" defaultRowHeight="12.75"/>
  <cols>
    <col min="1" max="1" width="29.125" style="11" customWidth="1"/>
    <col min="2" max="2" width="14.375" style="11" customWidth="1"/>
    <col min="3" max="3" width="11.00390625" style="11" customWidth="1"/>
    <col min="4" max="4" width="12.75390625" style="11" customWidth="1"/>
    <col min="5" max="5" width="13.125" style="11" customWidth="1"/>
    <col min="6" max="6" width="13.75390625" style="11" customWidth="1"/>
    <col min="7" max="7" width="10.625" style="6" customWidth="1"/>
    <col min="8" max="8" width="10.625" style="29" customWidth="1"/>
    <col min="9" max="9" width="13.75390625" style="32" customWidth="1"/>
    <col min="10" max="11" width="11.75390625" style="11" customWidth="1"/>
    <col min="12" max="12" width="12.625" style="11" customWidth="1"/>
    <col min="13" max="13" width="12.375" style="29" customWidth="1"/>
    <col min="14" max="14" width="12.375" style="30" customWidth="1"/>
    <col min="15" max="15" width="10.125" style="5" customWidth="1"/>
    <col min="16" max="17" width="10.125" style="32" customWidth="1"/>
    <col min="18" max="18" width="11.25390625" style="11" customWidth="1"/>
    <col min="19" max="19" width="12.375" style="11" customWidth="1"/>
    <col min="20" max="20" width="10.75390625" style="6" customWidth="1"/>
    <col min="21" max="21" width="9.625" style="29" customWidth="1"/>
    <col min="22" max="22" width="11.75390625" style="32" customWidth="1"/>
    <col min="23" max="23" width="12.125" style="11" customWidth="1"/>
    <col min="24" max="24" width="12.625" style="11" customWidth="1"/>
    <col min="25" max="25" width="9.00390625" style="6" customWidth="1"/>
    <col min="26" max="26" width="9.625" style="11" customWidth="1"/>
    <col min="27" max="27" width="12.375" style="6" customWidth="1"/>
    <col min="28" max="28" width="10.125" style="11" customWidth="1"/>
    <col min="29" max="29" width="12.375" style="33" customWidth="1"/>
    <col min="30" max="30" width="10.125" style="6" customWidth="1"/>
    <col min="31" max="31" width="10.125" style="9" customWidth="1"/>
    <col min="32" max="32" width="11.875" style="32" customWidth="1"/>
    <col min="33" max="33" width="12.00390625" style="11" customWidth="1"/>
    <col min="34" max="34" width="15.125" style="11" customWidth="1"/>
    <col min="35" max="35" width="9.125" style="9" customWidth="1"/>
    <col min="36" max="36" width="9.125" style="11" customWidth="1"/>
    <col min="37" max="37" width="11.25390625" style="11" customWidth="1"/>
    <col min="38" max="38" width="15.00390625" style="11" customWidth="1"/>
    <col min="39" max="39" width="12.75390625" style="11" customWidth="1"/>
    <col min="40" max="40" width="9.25390625" style="9" customWidth="1"/>
    <col min="41" max="42" width="10.875" style="32" customWidth="1"/>
    <col min="43" max="43" width="14.625" style="34" customWidth="1"/>
    <col min="44" max="44" width="10.625" style="11" customWidth="1"/>
    <col min="45" max="45" width="8.625" style="11" customWidth="1"/>
    <col min="46" max="47" width="9.125" style="11" customWidth="1"/>
    <col min="48" max="48" width="9.125" style="32" customWidth="1"/>
    <col min="49" max="49" width="14.875" style="11" customWidth="1"/>
    <col min="50" max="50" width="8.875" style="11" customWidth="1"/>
    <col min="51" max="51" width="9.125" style="29" customWidth="1"/>
    <col min="52" max="52" width="15.00390625" style="11" customWidth="1"/>
    <col min="53" max="53" width="9.625" style="6" customWidth="1"/>
    <col min="54" max="54" width="9.375" style="11" customWidth="1"/>
    <col min="55" max="55" width="11.00390625" style="11" customWidth="1"/>
    <col min="56" max="56" width="9.75390625" style="6" customWidth="1"/>
    <col min="57" max="57" width="9.25390625" style="32" customWidth="1"/>
    <col min="58" max="58" width="13.125" style="11" customWidth="1"/>
    <col min="59" max="59" width="10.25390625" style="6" customWidth="1"/>
    <col min="60" max="60" width="11.00390625" style="32" customWidth="1"/>
    <col min="61" max="61" width="12.125" style="11" customWidth="1"/>
    <col min="62" max="62" width="11.625" style="6" customWidth="1"/>
    <col min="63" max="16384" width="9.125" style="11" customWidth="1"/>
  </cols>
  <sheetData>
    <row r="1" spans="1:62" s="1" customFormat="1" ht="57" customHeight="1">
      <c r="A1" s="86" t="s">
        <v>71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5"/>
      <c r="P1" s="4"/>
      <c r="Q1" s="4"/>
      <c r="T1" s="6"/>
      <c r="U1" s="2"/>
      <c r="V1" s="4"/>
      <c r="Y1" s="3"/>
      <c r="AA1" s="3"/>
      <c r="AC1" s="7"/>
      <c r="AD1" s="3"/>
      <c r="AE1" s="8"/>
      <c r="AF1" s="4"/>
      <c r="AI1" s="8"/>
      <c r="AN1" s="9"/>
      <c r="AO1" s="4"/>
      <c r="AP1" s="4"/>
      <c r="AQ1" s="10"/>
      <c r="AV1" s="4"/>
      <c r="AY1" s="2"/>
      <c r="BA1" s="3"/>
      <c r="BD1" s="3"/>
      <c r="BE1" s="4"/>
      <c r="BG1" s="3"/>
      <c r="BH1" s="4"/>
      <c r="BI1" s="11"/>
      <c r="BJ1" s="3"/>
    </row>
    <row r="2" spans="1:63" s="12" customFormat="1" ht="49.5" customHeight="1">
      <c r="A2" s="84" t="s">
        <v>0</v>
      </c>
      <c r="B2" s="84" t="s">
        <v>1</v>
      </c>
      <c r="C2" s="84" t="s">
        <v>2</v>
      </c>
      <c r="D2" s="84" t="s">
        <v>11</v>
      </c>
      <c r="E2" s="84"/>
      <c r="F2" s="84"/>
      <c r="G2" s="84"/>
      <c r="H2" s="84"/>
      <c r="I2" s="84"/>
      <c r="J2" s="85" t="s">
        <v>12</v>
      </c>
      <c r="K2" s="85"/>
      <c r="L2" s="85"/>
      <c r="M2" s="85"/>
      <c r="N2" s="85"/>
      <c r="O2" s="85"/>
      <c r="P2" s="85"/>
      <c r="Q2" s="85"/>
      <c r="R2" s="84" t="s">
        <v>13</v>
      </c>
      <c r="S2" s="84"/>
      <c r="T2" s="84"/>
      <c r="U2" s="84"/>
      <c r="V2" s="84"/>
      <c r="W2" s="84" t="s">
        <v>14</v>
      </c>
      <c r="X2" s="84"/>
      <c r="Y2" s="84"/>
      <c r="Z2" s="84"/>
      <c r="AA2" s="84"/>
      <c r="AB2" s="84" t="s">
        <v>15</v>
      </c>
      <c r="AC2" s="84"/>
      <c r="AD2" s="84"/>
      <c r="AE2" s="84"/>
      <c r="AF2" s="84"/>
      <c r="AG2" s="87" t="s">
        <v>16</v>
      </c>
      <c r="AH2" s="88"/>
      <c r="AI2" s="88"/>
      <c r="AJ2" s="88"/>
      <c r="AK2" s="89"/>
      <c r="AL2" s="87" t="s">
        <v>17</v>
      </c>
      <c r="AM2" s="88"/>
      <c r="AN2" s="88"/>
      <c r="AO2" s="88"/>
      <c r="AP2" s="89"/>
      <c r="AQ2" s="90" t="s">
        <v>18</v>
      </c>
      <c r="AR2" s="90"/>
      <c r="AS2" s="90"/>
      <c r="AT2" s="88" t="s">
        <v>36</v>
      </c>
      <c r="AU2" s="88"/>
      <c r="AV2" s="89"/>
      <c r="AW2" s="84" t="s">
        <v>19</v>
      </c>
      <c r="AX2" s="84"/>
      <c r="AY2" s="84"/>
      <c r="AZ2" s="87" t="s">
        <v>20</v>
      </c>
      <c r="BA2" s="88"/>
      <c r="BB2" s="89"/>
      <c r="BC2" s="87" t="s">
        <v>21</v>
      </c>
      <c r="BD2" s="88"/>
      <c r="BE2" s="89"/>
      <c r="BF2" s="84" t="s">
        <v>22</v>
      </c>
      <c r="BG2" s="84"/>
      <c r="BH2" s="84"/>
      <c r="BI2" s="84" t="s">
        <v>23</v>
      </c>
      <c r="BJ2" s="84"/>
      <c r="BK2" s="84"/>
    </row>
    <row r="3" spans="1:63" s="12" customFormat="1" ht="168.75">
      <c r="A3" s="84"/>
      <c r="B3" s="84"/>
      <c r="C3" s="84"/>
      <c r="D3" s="42" t="s">
        <v>63</v>
      </c>
      <c r="E3" s="46" t="s">
        <v>62</v>
      </c>
      <c r="F3" s="43" t="s">
        <v>24</v>
      </c>
      <c r="G3" s="44" t="s">
        <v>3</v>
      </c>
      <c r="H3" s="45" t="s">
        <v>4</v>
      </c>
      <c r="I3" s="43" t="s">
        <v>60</v>
      </c>
      <c r="J3" s="46" t="s">
        <v>56</v>
      </c>
      <c r="K3" s="46" t="s">
        <v>61</v>
      </c>
      <c r="L3" s="43" t="s">
        <v>55</v>
      </c>
      <c r="M3" s="42" t="s">
        <v>54</v>
      </c>
      <c r="N3" s="46" t="s">
        <v>59</v>
      </c>
      <c r="O3" s="44" t="s">
        <v>3</v>
      </c>
      <c r="P3" s="43" t="s">
        <v>4</v>
      </c>
      <c r="Q3" s="43" t="s">
        <v>60</v>
      </c>
      <c r="R3" s="43" t="s">
        <v>25</v>
      </c>
      <c r="S3" s="43" t="s">
        <v>26</v>
      </c>
      <c r="T3" s="44" t="s">
        <v>3</v>
      </c>
      <c r="U3" s="45" t="s">
        <v>4</v>
      </c>
      <c r="V3" s="43" t="s">
        <v>60</v>
      </c>
      <c r="W3" s="43" t="s">
        <v>27</v>
      </c>
      <c r="X3" s="43" t="s">
        <v>28</v>
      </c>
      <c r="Y3" s="44" t="s">
        <v>3</v>
      </c>
      <c r="Z3" s="43" t="s">
        <v>4</v>
      </c>
      <c r="AA3" s="43" t="s">
        <v>60</v>
      </c>
      <c r="AB3" s="43" t="s">
        <v>65</v>
      </c>
      <c r="AC3" s="43" t="s">
        <v>66</v>
      </c>
      <c r="AD3" s="44" t="s">
        <v>3</v>
      </c>
      <c r="AE3" s="43" t="s">
        <v>4</v>
      </c>
      <c r="AF3" s="43" t="s">
        <v>60</v>
      </c>
      <c r="AG3" s="42" t="s">
        <v>31</v>
      </c>
      <c r="AH3" s="42" t="s">
        <v>32</v>
      </c>
      <c r="AI3" s="47" t="s">
        <v>3</v>
      </c>
      <c r="AJ3" s="43" t="s">
        <v>4</v>
      </c>
      <c r="AK3" s="43" t="s">
        <v>60</v>
      </c>
      <c r="AL3" s="42" t="s">
        <v>34</v>
      </c>
      <c r="AM3" s="42" t="s">
        <v>33</v>
      </c>
      <c r="AN3" s="47" t="s">
        <v>3</v>
      </c>
      <c r="AO3" s="43" t="s">
        <v>4</v>
      </c>
      <c r="AP3" s="43" t="s">
        <v>60</v>
      </c>
      <c r="AQ3" s="48" t="s">
        <v>35</v>
      </c>
      <c r="AR3" s="43" t="s">
        <v>4</v>
      </c>
      <c r="AS3" s="43" t="s">
        <v>60</v>
      </c>
      <c r="AT3" s="48" t="s">
        <v>37</v>
      </c>
      <c r="AU3" s="43" t="s">
        <v>4</v>
      </c>
      <c r="AV3" s="43" t="s">
        <v>60</v>
      </c>
      <c r="AW3" s="48" t="s">
        <v>39</v>
      </c>
      <c r="AX3" s="43" t="s">
        <v>4</v>
      </c>
      <c r="AY3" s="43" t="s">
        <v>60</v>
      </c>
      <c r="AZ3" s="48" t="s">
        <v>38</v>
      </c>
      <c r="BA3" s="43" t="s">
        <v>4</v>
      </c>
      <c r="BB3" s="43" t="s">
        <v>60</v>
      </c>
      <c r="BC3" s="48" t="s">
        <v>40</v>
      </c>
      <c r="BD3" s="43" t="s">
        <v>4</v>
      </c>
      <c r="BE3" s="43" t="s">
        <v>60</v>
      </c>
      <c r="BF3" s="48" t="s">
        <v>41</v>
      </c>
      <c r="BG3" s="43" t="s">
        <v>4</v>
      </c>
      <c r="BH3" s="43" t="s">
        <v>60</v>
      </c>
      <c r="BI3" s="48" t="s">
        <v>42</v>
      </c>
      <c r="BJ3" s="43" t="s">
        <v>4</v>
      </c>
      <c r="BK3" s="43" t="s">
        <v>60</v>
      </c>
    </row>
    <row r="4" spans="1:63" ht="24.75" customHeight="1">
      <c r="A4" s="13" t="s">
        <v>6</v>
      </c>
      <c r="B4" s="14">
        <f aca="true" t="shared" si="0" ref="B4:B9">I4+Q4+V4+AA4+AF4+AK4+AP4+AS4+AV4+AY4+BB4+BE4+BH4+BK4</f>
        <v>19</v>
      </c>
      <c r="C4" s="14">
        <f aca="true" t="shared" si="1" ref="C4:C9">RANK(B4,B$4:B$9)</f>
        <v>5</v>
      </c>
      <c r="D4" s="61">
        <v>5913.9</v>
      </c>
      <c r="E4" s="62">
        <v>69485.9</v>
      </c>
      <c r="F4" s="61">
        <v>178048.2</v>
      </c>
      <c r="G4" s="17">
        <f aca="true" t="shared" si="2" ref="G4:G9">(D4+E4)/(F4)</f>
        <v>0.42347970942699775</v>
      </c>
      <c r="H4" s="28">
        <f aca="true" t="shared" si="3" ref="H4:H9">G4</f>
        <v>0.42347970942699775</v>
      </c>
      <c r="I4" s="20">
        <f aca="true" t="shared" si="4" ref="I4:I9">IF(AND(H4&lt;0.1),-1,IF(OR(AND(H4&gt;=0.1,H4&lt;=0.6),AND(H4&gt;0.6,)),2,5))</f>
        <v>2</v>
      </c>
      <c r="J4" s="61">
        <v>20777.3</v>
      </c>
      <c r="K4" s="61">
        <f>182.1+49.7+100+2000+1275.2+119.2+660+0.1</f>
        <v>4386.3</v>
      </c>
      <c r="L4" s="61">
        <v>85754.3</v>
      </c>
      <c r="M4" s="61">
        <v>1976.4</v>
      </c>
      <c r="N4" s="67">
        <f>58451.8+40+22.5+100</f>
        <v>58614.3</v>
      </c>
      <c r="O4" s="19">
        <f aca="true" t="shared" si="5" ref="O4:O9">J4/(L4-M4-N4-K4)</f>
        <v>0.9999999999999997</v>
      </c>
      <c r="P4" s="28">
        <f>O4</f>
        <v>0.9999999999999997</v>
      </c>
      <c r="Q4" s="20">
        <f aca="true" t="shared" si="6" ref="Q4:Q9">IF(AND(P4&lt;0.6),0,IF(OR(AND(P4&gt;=0.6,P4&lt;1),AND(P4=1,)),2,5))</f>
        <v>5</v>
      </c>
      <c r="R4" s="61">
        <v>122</v>
      </c>
      <c r="S4" s="63">
        <v>1</v>
      </c>
      <c r="T4" s="19">
        <f aca="true" t="shared" si="7" ref="T4:T9">R4/(S4*12)</f>
        <v>10.166666666666666</v>
      </c>
      <c r="U4" s="28">
        <f aca="true" t="shared" si="8" ref="U4:U9">T4</f>
        <v>10.166666666666666</v>
      </c>
      <c r="V4" s="20">
        <f aca="true" t="shared" si="9" ref="V4:V9">IF(AND(U4&gt;4),0,IF(OR(AND(U4&gt;=2,U4&lt;=4),AND(U4&lt;2,)),1,2))</f>
        <v>0</v>
      </c>
      <c r="W4" s="58">
        <v>1505.4</v>
      </c>
      <c r="X4" s="59">
        <v>2359.6</v>
      </c>
      <c r="Y4" s="19">
        <f>1-(W4/X4)</f>
        <v>0.3620105102559755</v>
      </c>
      <c r="Z4" s="28">
        <f aca="true" t="shared" si="10" ref="Z4:Z9">Y4</f>
        <v>0.3620105102559755</v>
      </c>
      <c r="AA4" s="20">
        <f aca="true" t="shared" si="11" ref="AA4:AA9">IF(AND(Z4&gt;0.1),-1,IF(OR(AND(Z4&gt;=0.1),AND(Z4&lt;0.05,)),1,3))</f>
        <v>-1</v>
      </c>
      <c r="AB4" s="61">
        <v>52.75</v>
      </c>
      <c r="AC4" s="61">
        <v>52.25</v>
      </c>
      <c r="AD4" s="19">
        <f aca="true" t="shared" si="12" ref="AD4:AD9">AB4/AC4</f>
        <v>1.0095693779904307</v>
      </c>
      <c r="AE4" s="28">
        <f aca="true" t="shared" si="13" ref="AE4:AE9">AD4</f>
        <v>1.0095693779904307</v>
      </c>
      <c r="AF4" s="36">
        <f aca="true" t="shared" si="14" ref="AF4:AF9">IF(AND(AE4&gt;0.9),5,IF(OR(AND(AE4&lt;=0.9),),0))</f>
        <v>5</v>
      </c>
      <c r="AG4" s="66">
        <v>5913.9</v>
      </c>
      <c r="AH4" s="61">
        <v>5913.9</v>
      </c>
      <c r="AI4" s="24">
        <f aca="true" t="shared" si="15" ref="AI4:AI9">AG4/AH4</f>
        <v>1</v>
      </c>
      <c r="AJ4" s="31">
        <f aca="true" t="shared" si="16" ref="AJ4:AJ9">AI4</f>
        <v>1</v>
      </c>
      <c r="AK4" s="20">
        <f aca="true" t="shared" si="17" ref="AK4:AK9">IF(AND(AJ4&gt;0.95),5,IF(OR(AND(AJ4&lt;=0.95),),0))</f>
        <v>5</v>
      </c>
      <c r="AL4" s="67">
        <v>103238.3</v>
      </c>
      <c r="AM4" s="67">
        <v>131644.8</v>
      </c>
      <c r="AN4" s="24">
        <f aca="true" t="shared" si="18" ref="AN4:AN9">AL4/AM4</f>
        <v>0.7842185942779358</v>
      </c>
      <c r="AO4" s="31">
        <f aca="true" t="shared" si="19" ref="AO4:AO9">AN4</f>
        <v>0.7842185942779358</v>
      </c>
      <c r="AP4" s="20">
        <f aca="true" t="shared" si="20" ref="AP4:AP9">IF(AND(AO4&gt;0.9),3,IF(OR(AND(AO4&lt;=0.9),),0))</f>
        <v>0</v>
      </c>
      <c r="AQ4" s="26">
        <v>0</v>
      </c>
      <c r="AR4" s="18" t="s">
        <v>5</v>
      </c>
      <c r="AS4" s="20">
        <f aca="true" t="shared" si="21" ref="AS4:AS9">IF(AQ4&lt;=0,3,0)</f>
        <v>3</v>
      </c>
      <c r="AT4" s="26">
        <v>0</v>
      </c>
      <c r="AU4" s="18" t="s">
        <v>5</v>
      </c>
      <c r="AV4" s="20">
        <f aca="true" t="shared" si="22" ref="AV4:AV9">IF(AT4&lt;=0,0,-1)</f>
        <v>0</v>
      </c>
      <c r="AW4" s="26">
        <v>0</v>
      </c>
      <c r="AX4" s="18" t="s">
        <v>5</v>
      </c>
      <c r="AY4" s="20">
        <f aca="true" t="shared" si="23" ref="AY4:AY9">IF(AW4&lt;=0,0,-1)</f>
        <v>0</v>
      </c>
      <c r="AZ4" s="26">
        <v>0</v>
      </c>
      <c r="BA4" s="18" t="s">
        <v>5</v>
      </c>
      <c r="BB4" s="20">
        <f aca="true" t="shared" si="24" ref="BB4:BB9">IF(AZ4&lt;=0,0,-1)</f>
        <v>0</v>
      </c>
      <c r="BC4" s="26">
        <v>0</v>
      </c>
      <c r="BD4" s="18" t="s">
        <v>5</v>
      </c>
      <c r="BE4" s="20">
        <f aca="true" t="shared" si="25" ref="BE4:BE9">IF(BC4&lt;=0,0,-1)</f>
        <v>0</v>
      </c>
      <c r="BF4" s="60">
        <v>0</v>
      </c>
      <c r="BG4" s="18" t="s">
        <v>5</v>
      </c>
      <c r="BH4" s="20">
        <f aca="true" t="shared" si="26" ref="BH4:BH9">IF(BF4&lt;=0,0,-1)</f>
        <v>0</v>
      </c>
      <c r="BI4" s="26">
        <v>0</v>
      </c>
      <c r="BJ4" s="18" t="s">
        <v>5</v>
      </c>
      <c r="BK4" s="20">
        <f aca="true" t="shared" si="27" ref="BK4:BK9">IF(BI4&lt;=0,0,-1)</f>
        <v>0</v>
      </c>
    </row>
    <row r="5" spans="1:63" ht="24.75" customHeight="1">
      <c r="A5" s="13" t="s">
        <v>7</v>
      </c>
      <c r="B5" s="14">
        <f t="shared" si="0"/>
        <v>24</v>
      </c>
      <c r="C5" s="14">
        <f t="shared" si="1"/>
        <v>4</v>
      </c>
      <c r="D5" s="61">
        <v>3018</v>
      </c>
      <c r="E5" s="62">
        <v>288580.3</v>
      </c>
      <c r="F5" s="61">
        <v>332912</v>
      </c>
      <c r="G5" s="17">
        <f t="shared" si="2"/>
        <v>0.8759020401787859</v>
      </c>
      <c r="H5" s="28">
        <f t="shared" si="3"/>
        <v>0.8759020401787859</v>
      </c>
      <c r="I5" s="20">
        <f t="shared" si="4"/>
        <v>5</v>
      </c>
      <c r="J5" s="61">
        <f>135375.7+374</f>
        <v>135749.7</v>
      </c>
      <c r="K5" s="61"/>
      <c r="L5" s="61">
        <v>284469.4</v>
      </c>
      <c r="M5" s="61">
        <v>578</v>
      </c>
      <c r="N5" s="67">
        <f>152007-3865.3</f>
        <v>148141.7</v>
      </c>
      <c r="O5" s="19">
        <f t="shared" si="5"/>
        <v>1</v>
      </c>
      <c r="P5" s="28">
        <f>O5</f>
        <v>1</v>
      </c>
      <c r="Q5" s="20">
        <f t="shared" si="6"/>
        <v>5</v>
      </c>
      <c r="R5" s="61">
        <v>1369</v>
      </c>
      <c r="S5" s="63">
        <v>27</v>
      </c>
      <c r="T5" s="19">
        <f t="shared" si="7"/>
        <v>4.2253086419753085</v>
      </c>
      <c r="U5" s="28">
        <f t="shared" si="8"/>
        <v>4.2253086419753085</v>
      </c>
      <c r="V5" s="20">
        <f t="shared" si="9"/>
        <v>0</v>
      </c>
      <c r="W5" s="58">
        <v>24369.4</v>
      </c>
      <c r="X5" s="59">
        <v>24404.4</v>
      </c>
      <c r="Y5" s="19">
        <f>1-(W5/X5)</f>
        <v>0.0014341676091196298</v>
      </c>
      <c r="Z5" s="28">
        <f t="shared" si="10"/>
        <v>0.0014341676091196298</v>
      </c>
      <c r="AA5" s="20">
        <f t="shared" si="11"/>
        <v>3</v>
      </c>
      <c r="AB5" s="61">
        <v>6545</v>
      </c>
      <c r="AC5" s="61">
        <f>1361+2633+2502+46+3</f>
        <v>6545</v>
      </c>
      <c r="AD5" s="19">
        <f t="shared" si="12"/>
        <v>1</v>
      </c>
      <c r="AE5" s="28">
        <f t="shared" si="13"/>
        <v>1</v>
      </c>
      <c r="AF5" s="36">
        <f t="shared" si="14"/>
        <v>5</v>
      </c>
      <c r="AG5" s="66">
        <v>2963.3</v>
      </c>
      <c r="AH5" s="61">
        <v>3018</v>
      </c>
      <c r="AI5" s="24">
        <f t="shared" si="15"/>
        <v>0.9818754141815773</v>
      </c>
      <c r="AJ5" s="31">
        <f t="shared" si="16"/>
        <v>0.9818754141815773</v>
      </c>
      <c r="AK5" s="20">
        <f t="shared" si="17"/>
        <v>5</v>
      </c>
      <c r="AL5" s="67">
        <v>216090.6</v>
      </c>
      <c r="AM5" s="67">
        <v>217454.3</v>
      </c>
      <c r="AN5" s="24">
        <f t="shared" si="18"/>
        <v>0.9937287972691274</v>
      </c>
      <c r="AO5" s="31">
        <f t="shared" si="19"/>
        <v>0.9937287972691274</v>
      </c>
      <c r="AP5" s="20">
        <f t="shared" si="20"/>
        <v>3</v>
      </c>
      <c r="AQ5" s="26">
        <v>143</v>
      </c>
      <c r="AR5" s="18" t="s">
        <v>5</v>
      </c>
      <c r="AS5" s="20">
        <f t="shared" si="21"/>
        <v>0</v>
      </c>
      <c r="AT5" s="26">
        <v>0</v>
      </c>
      <c r="AU5" s="18" t="s">
        <v>5</v>
      </c>
      <c r="AV5" s="20">
        <f t="shared" si="22"/>
        <v>0</v>
      </c>
      <c r="AW5" s="26">
        <v>1</v>
      </c>
      <c r="AX5" s="18" t="s">
        <v>5</v>
      </c>
      <c r="AY5" s="20">
        <f t="shared" si="23"/>
        <v>-1</v>
      </c>
      <c r="AZ5" s="26">
        <v>0</v>
      </c>
      <c r="BA5" s="18" t="s">
        <v>5</v>
      </c>
      <c r="BB5" s="20">
        <f t="shared" si="24"/>
        <v>0</v>
      </c>
      <c r="BC5" s="26">
        <v>0</v>
      </c>
      <c r="BD5" s="18" t="s">
        <v>5</v>
      </c>
      <c r="BE5" s="20">
        <f t="shared" si="25"/>
        <v>0</v>
      </c>
      <c r="BF5" s="60">
        <v>0</v>
      </c>
      <c r="BG5" s="18" t="s">
        <v>5</v>
      </c>
      <c r="BH5" s="20">
        <f t="shared" si="26"/>
        <v>0</v>
      </c>
      <c r="BI5" s="26">
        <v>1</v>
      </c>
      <c r="BJ5" s="18" t="s">
        <v>5</v>
      </c>
      <c r="BK5" s="20">
        <f t="shared" si="27"/>
        <v>-1</v>
      </c>
    </row>
    <row r="6" spans="1:63" ht="24.75" customHeight="1">
      <c r="A6" s="13" t="s">
        <v>8</v>
      </c>
      <c r="B6" s="14">
        <f t="shared" si="0"/>
        <v>26</v>
      </c>
      <c r="C6" s="14">
        <f t="shared" si="1"/>
        <v>3</v>
      </c>
      <c r="D6" s="61">
        <v>821.4</v>
      </c>
      <c r="E6" s="62">
        <v>46843.1</v>
      </c>
      <c r="F6" s="61">
        <v>47944.9</v>
      </c>
      <c r="G6" s="17">
        <f t="shared" si="2"/>
        <v>0.994151619880321</v>
      </c>
      <c r="H6" s="28">
        <f t="shared" si="3"/>
        <v>0.994151619880321</v>
      </c>
      <c r="I6" s="20">
        <f t="shared" si="4"/>
        <v>5</v>
      </c>
      <c r="J6" s="61">
        <v>42201.2</v>
      </c>
      <c r="K6" s="61"/>
      <c r="L6" s="61">
        <v>43500.5</v>
      </c>
      <c r="M6" s="61">
        <v>605.3</v>
      </c>
      <c r="N6" s="67">
        <f>1787-1089.6</f>
        <v>697.4000000000001</v>
      </c>
      <c r="O6" s="19">
        <f t="shared" si="5"/>
        <v>1.0000805729208633</v>
      </c>
      <c r="P6" s="28">
        <f>O6</f>
        <v>1.0000805729208633</v>
      </c>
      <c r="Q6" s="20">
        <f t="shared" si="6"/>
        <v>5</v>
      </c>
      <c r="R6" s="61">
        <v>294</v>
      </c>
      <c r="S6" s="63">
        <v>8</v>
      </c>
      <c r="T6" s="19">
        <f t="shared" si="7"/>
        <v>3.0625</v>
      </c>
      <c r="U6" s="28">
        <f t="shared" si="8"/>
        <v>3.0625</v>
      </c>
      <c r="V6" s="20">
        <f t="shared" si="9"/>
        <v>1</v>
      </c>
      <c r="W6" s="58">
        <v>2437.2</v>
      </c>
      <c r="X6" s="59">
        <v>2455.7</v>
      </c>
      <c r="Y6" s="19">
        <f>1-(W6/X6)</f>
        <v>0.007533493504906952</v>
      </c>
      <c r="Z6" s="28">
        <f t="shared" si="10"/>
        <v>0.007533493504906952</v>
      </c>
      <c r="AA6" s="20">
        <f t="shared" si="11"/>
        <v>3</v>
      </c>
      <c r="AB6" s="61">
        <f>206+3.4+1819+394+7+4</f>
        <v>2433.4</v>
      </c>
      <c r="AC6" s="61">
        <f>210+3.015+394+1817+7+4</f>
        <v>2435.015</v>
      </c>
      <c r="AD6" s="19">
        <f t="shared" si="12"/>
        <v>0.9993367597324864</v>
      </c>
      <c r="AE6" s="28">
        <f t="shared" si="13"/>
        <v>0.9993367597324864</v>
      </c>
      <c r="AF6" s="36">
        <f t="shared" si="14"/>
        <v>5</v>
      </c>
      <c r="AG6" s="66">
        <v>821.4</v>
      </c>
      <c r="AH6" s="61">
        <v>821.4</v>
      </c>
      <c r="AI6" s="24">
        <f t="shared" si="15"/>
        <v>1</v>
      </c>
      <c r="AJ6" s="31">
        <f t="shared" si="16"/>
        <v>1</v>
      </c>
      <c r="AK6" s="20">
        <f t="shared" si="17"/>
        <v>5</v>
      </c>
      <c r="AL6" s="67">
        <v>11557</v>
      </c>
      <c r="AM6" s="67">
        <v>11562.7</v>
      </c>
      <c r="AN6" s="24">
        <f t="shared" si="18"/>
        <v>0.9995070355539796</v>
      </c>
      <c r="AO6" s="31">
        <f t="shared" si="19"/>
        <v>0.9995070355539796</v>
      </c>
      <c r="AP6" s="20">
        <f t="shared" si="20"/>
        <v>3</v>
      </c>
      <c r="AQ6" s="26">
        <v>9</v>
      </c>
      <c r="AR6" s="18" t="s">
        <v>5</v>
      </c>
      <c r="AS6" s="20">
        <f t="shared" si="21"/>
        <v>0</v>
      </c>
      <c r="AT6" s="26">
        <v>0</v>
      </c>
      <c r="AU6" s="18" t="s">
        <v>5</v>
      </c>
      <c r="AV6" s="20">
        <f t="shared" si="22"/>
        <v>0</v>
      </c>
      <c r="AW6" s="26">
        <v>1</v>
      </c>
      <c r="AX6" s="18" t="s">
        <v>5</v>
      </c>
      <c r="AY6" s="20">
        <f t="shared" si="23"/>
        <v>-1</v>
      </c>
      <c r="AZ6" s="26">
        <v>0</v>
      </c>
      <c r="BA6" s="18" t="s">
        <v>5</v>
      </c>
      <c r="BB6" s="20">
        <f t="shared" si="24"/>
        <v>0</v>
      </c>
      <c r="BC6" s="26">
        <v>0</v>
      </c>
      <c r="BD6" s="18" t="s">
        <v>5</v>
      </c>
      <c r="BE6" s="20">
        <f t="shared" si="25"/>
        <v>0</v>
      </c>
      <c r="BF6" s="60">
        <v>0</v>
      </c>
      <c r="BG6" s="18" t="s">
        <v>5</v>
      </c>
      <c r="BH6" s="20">
        <f t="shared" si="26"/>
        <v>0</v>
      </c>
      <c r="BI6" s="60">
        <v>0</v>
      </c>
      <c r="BJ6" s="18" t="s">
        <v>5</v>
      </c>
      <c r="BK6" s="20">
        <f t="shared" si="27"/>
        <v>0</v>
      </c>
    </row>
    <row r="7" spans="1:63" ht="24.75" customHeight="1">
      <c r="A7" s="13" t="s">
        <v>9</v>
      </c>
      <c r="B7" s="14">
        <f t="shared" si="0"/>
        <v>31</v>
      </c>
      <c r="C7" s="14">
        <f t="shared" si="1"/>
        <v>1</v>
      </c>
      <c r="D7" s="61">
        <v>0</v>
      </c>
      <c r="E7" s="62">
        <v>43559.8</v>
      </c>
      <c r="F7" s="61">
        <v>43586.8</v>
      </c>
      <c r="G7" s="17">
        <f t="shared" si="2"/>
        <v>0.9993805464039571</v>
      </c>
      <c r="H7" s="28">
        <f t="shared" si="3"/>
        <v>0.9993805464039571</v>
      </c>
      <c r="I7" s="20">
        <f t="shared" si="4"/>
        <v>5</v>
      </c>
      <c r="J7" s="61">
        <v>5041.5</v>
      </c>
      <c r="K7" s="61">
        <v>4680</v>
      </c>
      <c r="L7" s="61">
        <v>25281.1</v>
      </c>
      <c r="M7" s="61">
        <v>0</v>
      </c>
      <c r="N7" s="67">
        <f>5887.6+1089+8583</f>
        <v>15559.6</v>
      </c>
      <c r="O7" s="19">
        <f t="shared" si="5"/>
        <v>1.0000000000000004</v>
      </c>
      <c r="P7" s="28">
        <f>O7</f>
        <v>1.0000000000000004</v>
      </c>
      <c r="Q7" s="20">
        <f t="shared" si="6"/>
        <v>5</v>
      </c>
      <c r="R7" s="61">
        <v>31</v>
      </c>
      <c r="S7" s="63">
        <v>10</v>
      </c>
      <c r="T7" s="19">
        <f t="shared" si="7"/>
        <v>0.25833333333333336</v>
      </c>
      <c r="U7" s="28">
        <f t="shared" si="8"/>
        <v>0.25833333333333336</v>
      </c>
      <c r="V7" s="20">
        <f t="shared" si="9"/>
        <v>2</v>
      </c>
      <c r="W7" s="56">
        <v>62.9</v>
      </c>
      <c r="X7" s="57">
        <v>62.9</v>
      </c>
      <c r="Y7" s="19">
        <v>0</v>
      </c>
      <c r="Z7" s="28">
        <f t="shared" si="10"/>
        <v>0</v>
      </c>
      <c r="AA7" s="20">
        <f t="shared" si="11"/>
        <v>3</v>
      </c>
      <c r="AB7" s="64">
        <v>15</v>
      </c>
      <c r="AC7" s="65">
        <v>15</v>
      </c>
      <c r="AD7" s="19">
        <f t="shared" si="12"/>
        <v>1</v>
      </c>
      <c r="AE7" s="28">
        <f t="shared" si="13"/>
        <v>1</v>
      </c>
      <c r="AF7" s="36">
        <f t="shared" si="14"/>
        <v>5</v>
      </c>
      <c r="AG7" s="64">
        <v>0.01</v>
      </c>
      <c r="AH7" s="67">
        <v>0.01</v>
      </c>
      <c r="AI7" s="24">
        <f t="shared" si="15"/>
        <v>1</v>
      </c>
      <c r="AJ7" s="31">
        <f t="shared" si="16"/>
        <v>1</v>
      </c>
      <c r="AK7" s="20">
        <f t="shared" si="17"/>
        <v>5</v>
      </c>
      <c r="AL7" s="67">
        <v>22399.3</v>
      </c>
      <c r="AM7" s="67">
        <v>22456.7</v>
      </c>
      <c r="AN7" s="24">
        <f t="shared" si="18"/>
        <v>0.9974439699510613</v>
      </c>
      <c r="AO7" s="31">
        <f t="shared" si="19"/>
        <v>0.9974439699510613</v>
      </c>
      <c r="AP7" s="20">
        <f t="shared" si="20"/>
        <v>3</v>
      </c>
      <c r="AQ7" s="26">
        <v>0</v>
      </c>
      <c r="AR7" s="18" t="s">
        <v>5</v>
      </c>
      <c r="AS7" s="20">
        <f t="shared" si="21"/>
        <v>3</v>
      </c>
      <c r="AT7" s="26">
        <v>0</v>
      </c>
      <c r="AU7" s="18" t="s">
        <v>5</v>
      </c>
      <c r="AV7" s="20">
        <f t="shared" si="22"/>
        <v>0</v>
      </c>
      <c r="AW7" s="26">
        <v>0</v>
      </c>
      <c r="AX7" s="18" t="s">
        <v>5</v>
      </c>
      <c r="AY7" s="20">
        <f t="shared" si="23"/>
        <v>0</v>
      </c>
      <c r="AZ7" s="26">
        <v>0</v>
      </c>
      <c r="BA7" s="18" t="s">
        <v>5</v>
      </c>
      <c r="BB7" s="20">
        <f t="shared" si="24"/>
        <v>0</v>
      </c>
      <c r="BC7" s="26">
        <v>0</v>
      </c>
      <c r="BD7" s="18" t="s">
        <v>5</v>
      </c>
      <c r="BE7" s="20">
        <f t="shared" si="25"/>
        <v>0</v>
      </c>
      <c r="BF7" s="60">
        <v>0</v>
      </c>
      <c r="BG7" s="18" t="s">
        <v>5</v>
      </c>
      <c r="BH7" s="20">
        <f t="shared" si="26"/>
        <v>0</v>
      </c>
      <c r="BI7" s="60">
        <v>0</v>
      </c>
      <c r="BJ7" s="18" t="s">
        <v>5</v>
      </c>
      <c r="BK7" s="20">
        <f t="shared" si="27"/>
        <v>0</v>
      </c>
    </row>
    <row r="8" spans="1:63" s="1" customFormat="1" ht="24.75" customHeight="1">
      <c r="A8" s="13" t="s">
        <v>10</v>
      </c>
      <c r="B8" s="14">
        <f t="shared" si="0"/>
        <v>27</v>
      </c>
      <c r="C8" s="14">
        <f t="shared" si="1"/>
        <v>2</v>
      </c>
      <c r="D8" s="61">
        <v>4324.7</v>
      </c>
      <c r="E8" s="62">
        <v>0</v>
      </c>
      <c r="F8" s="61">
        <v>13771</v>
      </c>
      <c r="G8" s="17">
        <f t="shared" si="2"/>
        <v>0.3140440055188439</v>
      </c>
      <c r="H8" s="28">
        <f t="shared" si="3"/>
        <v>0.3140440055188439</v>
      </c>
      <c r="I8" s="20">
        <f t="shared" si="4"/>
        <v>2</v>
      </c>
      <c r="J8" s="61">
        <v>0</v>
      </c>
      <c r="K8" s="61">
        <v>700</v>
      </c>
      <c r="L8" s="61">
        <v>16435</v>
      </c>
      <c r="M8" s="61">
        <v>7996</v>
      </c>
      <c r="N8" s="67">
        <f>7649+4+86</f>
        <v>7739</v>
      </c>
      <c r="O8" s="19" t="e">
        <f t="shared" si="5"/>
        <v>#DIV/0!</v>
      </c>
      <c r="P8" s="28">
        <v>1</v>
      </c>
      <c r="Q8" s="20">
        <f t="shared" si="6"/>
        <v>5</v>
      </c>
      <c r="R8" s="61">
        <v>46</v>
      </c>
      <c r="S8" s="63">
        <v>1</v>
      </c>
      <c r="T8" s="19">
        <f t="shared" si="7"/>
        <v>3.8333333333333335</v>
      </c>
      <c r="U8" s="28">
        <f t="shared" si="8"/>
        <v>3.8333333333333335</v>
      </c>
      <c r="V8" s="20">
        <f t="shared" si="9"/>
        <v>1</v>
      </c>
      <c r="W8" s="58">
        <v>6886</v>
      </c>
      <c r="X8" s="59">
        <v>6477.4</v>
      </c>
      <c r="Y8" s="19">
        <f>1-(W8/X8)</f>
        <v>-0.06308086577947947</v>
      </c>
      <c r="Z8" s="28">
        <f t="shared" si="10"/>
        <v>-0.06308086577947947</v>
      </c>
      <c r="AA8" s="20">
        <f t="shared" si="11"/>
        <v>3</v>
      </c>
      <c r="AB8" s="64">
        <v>0.01</v>
      </c>
      <c r="AC8" s="65">
        <v>0.01</v>
      </c>
      <c r="AD8" s="19">
        <f t="shared" si="12"/>
        <v>1</v>
      </c>
      <c r="AE8" s="28">
        <f t="shared" si="13"/>
        <v>1</v>
      </c>
      <c r="AF8" s="36">
        <f t="shared" si="14"/>
        <v>5</v>
      </c>
      <c r="AG8" s="66">
        <v>4324.5</v>
      </c>
      <c r="AH8" s="61">
        <v>4324.7</v>
      </c>
      <c r="AI8" s="24">
        <f t="shared" si="15"/>
        <v>0.9999537540176198</v>
      </c>
      <c r="AJ8" s="31">
        <f t="shared" si="16"/>
        <v>0.9999537540176198</v>
      </c>
      <c r="AK8" s="20">
        <f t="shared" si="17"/>
        <v>5</v>
      </c>
      <c r="AL8" s="67">
        <v>9069.6</v>
      </c>
      <c r="AM8" s="67">
        <v>9356.3</v>
      </c>
      <c r="AN8" s="24">
        <f t="shared" si="18"/>
        <v>0.9693575451834594</v>
      </c>
      <c r="AO8" s="31">
        <f t="shared" si="19"/>
        <v>0.9693575451834594</v>
      </c>
      <c r="AP8" s="20">
        <f t="shared" si="20"/>
        <v>3</v>
      </c>
      <c r="AQ8" s="26">
        <v>0</v>
      </c>
      <c r="AR8" s="18" t="s">
        <v>5</v>
      </c>
      <c r="AS8" s="20">
        <f t="shared" si="21"/>
        <v>3</v>
      </c>
      <c r="AT8" s="26">
        <v>0</v>
      </c>
      <c r="AU8" s="18" t="s">
        <v>5</v>
      </c>
      <c r="AV8" s="20">
        <f t="shared" si="22"/>
        <v>0</v>
      </c>
      <c r="AW8" s="26">
        <v>0</v>
      </c>
      <c r="AX8" s="18" t="s">
        <v>5</v>
      </c>
      <c r="AY8" s="20">
        <f t="shared" si="23"/>
        <v>0</v>
      </c>
      <c r="AZ8" s="26">
        <v>0</v>
      </c>
      <c r="BA8" s="18" t="s">
        <v>5</v>
      </c>
      <c r="BB8" s="20">
        <f t="shared" si="24"/>
        <v>0</v>
      </c>
      <c r="BC8" s="26">
        <v>0</v>
      </c>
      <c r="BD8" s="18" t="s">
        <v>5</v>
      </c>
      <c r="BE8" s="20">
        <f t="shared" si="25"/>
        <v>0</v>
      </c>
      <c r="BF8" s="60">
        <v>0</v>
      </c>
      <c r="BG8" s="18" t="s">
        <v>5</v>
      </c>
      <c r="BH8" s="20">
        <f t="shared" si="26"/>
        <v>0</v>
      </c>
      <c r="BI8" s="26">
        <v>0</v>
      </c>
      <c r="BJ8" s="18" t="s">
        <v>5</v>
      </c>
      <c r="BK8" s="20">
        <f t="shared" si="27"/>
        <v>0</v>
      </c>
    </row>
    <row r="9" spans="1:63" s="1" customFormat="1" ht="24.75" customHeight="1">
      <c r="A9" s="13" t="s">
        <v>44</v>
      </c>
      <c r="B9" s="14">
        <f t="shared" si="0"/>
        <v>18</v>
      </c>
      <c r="C9" s="14">
        <f t="shared" si="1"/>
        <v>6</v>
      </c>
      <c r="D9" s="61">
        <v>0</v>
      </c>
      <c r="E9" s="62">
        <v>0</v>
      </c>
      <c r="F9" s="61">
        <v>3955</v>
      </c>
      <c r="G9" s="17">
        <f t="shared" si="2"/>
        <v>0</v>
      </c>
      <c r="H9" s="28">
        <f t="shared" si="3"/>
        <v>0</v>
      </c>
      <c r="I9" s="20">
        <f t="shared" si="4"/>
        <v>-1</v>
      </c>
      <c r="J9" s="61">
        <v>3877.9</v>
      </c>
      <c r="K9" s="61">
        <v>0</v>
      </c>
      <c r="L9" s="61">
        <v>3877.9</v>
      </c>
      <c r="M9" s="61">
        <v>0</v>
      </c>
      <c r="N9" s="67">
        <v>0</v>
      </c>
      <c r="O9" s="19">
        <f t="shared" si="5"/>
        <v>1</v>
      </c>
      <c r="P9" s="28">
        <f>O9</f>
        <v>1</v>
      </c>
      <c r="Q9" s="20">
        <f t="shared" si="6"/>
        <v>5</v>
      </c>
      <c r="R9" s="61">
        <v>12</v>
      </c>
      <c r="S9" s="63">
        <v>1</v>
      </c>
      <c r="T9" s="19">
        <f t="shared" si="7"/>
        <v>1</v>
      </c>
      <c r="U9" s="28">
        <f t="shared" si="8"/>
        <v>1</v>
      </c>
      <c r="V9" s="20">
        <f t="shared" si="9"/>
        <v>2</v>
      </c>
      <c r="W9" s="58">
        <v>0</v>
      </c>
      <c r="X9" s="59">
        <v>0.001</v>
      </c>
      <c r="Y9" s="19">
        <f>1-(W9/X9)</f>
        <v>1</v>
      </c>
      <c r="Z9" s="28">
        <f t="shared" si="10"/>
        <v>1</v>
      </c>
      <c r="AA9" s="20">
        <f t="shared" si="11"/>
        <v>-1</v>
      </c>
      <c r="AB9" s="64">
        <v>8.3</v>
      </c>
      <c r="AC9" s="65">
        <v>8.25</v>
      </c>
      <c r="AD9" s="19">
        <f t="shared" si="12"/>
        <v>1.006060606060606</v>
      </c>
      <c r="AE9" s="28">
        <f t="shared" si="13"/>
        <v>1.006060606060606</v>
      </c>
      <c r="AF9" s="36">
        <f t="shared" si="14"/>
        <v>5</v>
      </c>
      <c r="AG9" s="64">
        <v>0.01</v>
      </c>
      <c r="AH9" s="61">
        <v>0.01</v>
      </c>
      <c r="AI9" s="24">
        <f t="shared" si="15"/>
        <v>1</v>
      </c>
      <c r="AJ9" s="31">
        <f t="shared" si="16"/>
        <v>1</v>
      </c>
      <c r="AK9" s="20">
        <f t="shared" si="17"/>
        <v>5</v>
      </c>
      <c r="AL9" s="67">
        <v>0</v>
      </c>
      <c r="AM9" s="67">
        <v>0.01</v>
      </c>
      <c r="AN9" s="24">
        <f t="shared" si="18"/>
        <v>0</v>
      </c>
      <c r="AO9" s="31">
        <f t="shared" si="19"/>
        <v>0</v>
      </c>
      <c r="AP9" s="20">
        <f t="shared" si="20"/>
        <v>0</v>
      </c>
      <c r="AQ9" s="26">
        <v>0</v>
      </c>
      <c r="AR9" s="18" t="s">
        <v>5</v>
      </c>
      <c r="AS9" s="20">
        <f t="shared" si="21"/>
        <v>3</v>
      </c>
      <c r="AT9" s="26">
        <v>0</v>
      </c>
      <c r="AU9" s="18" t="s">
        <v>5</v>
      </c>
      <c r="AV9" s="20">
        <f t="shared" si="22"/>
        <v>0</v>
      </c>
      <c r="AW9" s="26">
        <v>0</v>
      </c>
      <c r="AX9" s="18" t="s">
        <v>5</v>
      </c>
      <c r="AY9" s="20">
        <f t="shared" si="23"/>
        <v>0</v>
      </c>
      <c r="AZ9" s="26">
        <v>0</v>
      </c>
      <c r="BA9" s="18" t="s">
        <v>5</v>
      </c>
      <c r="BB9" s="20">
        <f t="shared" si="24"/>
        <v>0</v>
      </c>
      <c r="BC9" s="26">
        <v>0</v>
      </c>
      <c r="BD9" s="18" t="s">
        <v>5</v>
      </c>
      <c r="BE9" s="20">
        <f t="shared" si="25"/>
        <v>0</v>
      </c>
      <c r="BF9" s="60">
        <v>0</v>
      </c>
      <c r="BG9" s="18" t="s">
        <v>5</v>
      </c>
      <c r="BH9" s="20">
        <f t="shared" si="26"/>
        <v>0</v>
      </c>
      <c r="BI9" s="26">
        <v>0</v>
      </c>
      <c r="BJ9" s="18" t="s">
        <v>5</v>
      </c>
      <c r="BK9" s="20">
        <f t="shared" si="27"/>
        <v>0</v>
      </c>
    </row>
    <row r="10" spans="28:42" ht="12.75">
      <c r="AB10" s="11" t="s">
        <v>67</v>
      </c>
      <c r="AL10" s="11">
        <v>0</v>
      </c>
      <c r="AM10" s="11">
        <v>0</v>
      </c>
      <c r="AN10" s="24"/>
      <c r="AO10" s="31"/>
      <c r="AP10" s="18"/>
    </row>
    <row r="11" spans="10:28" ht="12.75">
      <c r="J11" s="11" t="s">
        <v>51</v>
      </c>
      <c r="N11" s="30" t="s">
        <v>72</v>
      </c>
      <c r="AB11" s="11" t="s">
        <v>68</v>
      </c>
    </row>
    <row r="12" spans="1:39" ht="12.75">
      <c r="A12" s="11" t="s">
        <v>46</v>
      </c>
      <c r="W12" s="68"/>
      <c r="AG12" s="11">
        <v>32916.4</v>
      </c>
      <c r="AH12" s="11">
        <v>33986.3</v>
      </c>
      <c r="AI12" s="9">
        <f>AG12/AH12</f>
        <v>0.9685196682192531</v>
      </c>
      <c r="AJ12" s="11">
        <f>AI12</f>
        <v>0.9685196682192531</v>
      </c>
      <c r="AK12" s="11">
        <f>IF(AND(AJ12&gt;0.95),5,IF(OR(AND(AJ12&lt;=0.95),),0))</f>
        <v>5</v>
      </c>
      <c r="AL12" s="11">
        <v>270854.7</v>
      </c>
      <c r="AM12" s="11">
        <v>276015.1</v>
      </c>
    </row>
    <row r="13" ht="12.75">
      <c r="W13" s="68"/>
    </row>
    <row r="14" spans="14:38" ht="12.75">
      <c r="N14" s="30" t="s">
        <v>73</v>
      </c>
      <c r="AL14" s="32" t="s">
        <v>69</v>
      </c>
    </row>
    <row r="18" ht="12.75">
      <c r="K18" s="39"/>
    </row>
  </sheetData>
  <sheetProtection/>
  <mergeCells count="18">
    <mergeCell ref="R2:V2"/>
    <mergeCell ref="W2:AA2"/>
    <mergeCell ref="AB2:AF2"/>
    <mergeCell ref="AG2:AK2"/>
    <mergeCell ref="A1:N1"/>
    <mergeCell ref="A2:A3"/>
    <mergeCell ref="B2:B3"/>
    <mergeCell ref="C2:C3"/>
    <mergeCell ref="D2:I2"/>
    <mergeCell ref="J2:Q2"/>
    <mergeCell ref="AZ2:BB2"/>
    <mergeCell ref="BC2:BE2"/>
    <mergeCell ref="BF2:BH2"/>
    <mergeCell ref="BI2:BK2"/>
    <mergeCell ref="AL2:AP2"/>
    <mergeCell ref="AQ2:AS2"/>
    <mergeCell ref="AT2:AV2"/>
    <mergeCell ref="AW2:AY2"/>
  </mergeCells>
  <printOptions/>
  <pageMargins left="0.25" right="0.25" top="1" bottom="1" header="0.5" footer="0.5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3" sqref="Y3"/>
    </sheetView>
  </sheetViews>
  <sheetFormatPr defaultColWidth="9.00390625" defaultRowHeight="12.75"/>
  <cols>
    <col min="1" max="1" width="29.125" style="11" customWidth="1"/>
    <col min="2" max="2" width="14.375" style="11" customWidth="1"/>
    <col min="3" max="3" width="11.00390625" style="11" customWidth="1"/>
    <col min="4" max="4" width="12.75390625" style="11" customWidth="1"/>
    <col min="5" max="5" width="13.125" style="11" customWidth="1"/>
    <col min="6" max="6" width="13.75390625" style="11" customWidth="1"/>
    <col min="7" max="7" width="10.625" style="6" customWidth="1"/>
    <col min="8" max="8" width="10.625" style="29" customWidth="1"/>
    <col min="9" max="9" width="13.75390625" style="32" customWidth="1"/>
    <col min="10" max="10" width="11.25390625" style="11" customWidth="1"/>
    <col min="11" max="11" width="12.375" style="11" customWidth="1"/>
    <col min="12" max="12" width="10.75390625" style="6" customWidth="1"/>
    <col min="13" max="13" width="9.625" style="29" customWidth="1"/>
    <col min="14" max="14" width="11.75390625" style="32" customWidth="1"/>
    <col min="15" max="15" width="12.125" style="11" customWidth="1"/>
    <col min="16" max="16" width="12.625" style="11" customWidth="1"/>
    <col min="17" max="17" width="9.00390625" style="6" customWidth="1"/>
    <col min="18" max="18" width="9.625" style="11" customWidth="1"/>
    <col min="19" max="19" width="12.375" style="6" customWidth="1"/>
    <col min="20" max="20" width="10.125" style="11" customWidth="1"/>
    <col min="21" max="21" width="12.375" style="33" customWidth="1"/>
    <col min="22" max="22" width="10.125" style="6" customWidth="1"/>
    <col min="23" max="23" width="10.125" style="9" customWidth="1"/>
    <col min="24" max="24" width="11.875" style="32" customWidth="1"/>
    <col min="25" max="25" width="12.00390625" style="11" customWidth="1"/>
    <col min="26" max="26" width="15.125" style="11" customWidth="1"/>
    <col min="27" max="27" width="9.125" style="9" customWidth="1"/>
    <col min="28" max="28" width="9.125" style="11" customWidth="1"/>
    <col min="29" max="29" width="11.25390625" style="11" customWidth="1"/>
    <col min="30" max="30" width="15.00390625" style="11" customWidth="1"/>
    <col min="31" max="31" width="12.75390625" style="11" customWidth="1"/>
    <col min="32" max="32" width="11.75390625" style="9" customWidth="1"/>
    <col min="33" max="34" width="10.875" style="32" customWidth="1"/>
    <col min="35" max="35" width="14.625" style="34" customWidth="1"/>
    <col min="36" max="36" width="10.625" style="11" customWidth="1"/>
    <col min="37" max="37" width="8.625" style="11" customWidth="1"/>
    <col min="38" max="39" width="9.125" style="11" customWidth="1"/>
    <col min="40" max="40" width="9.125" style="32" customWidth="1"/>
    <col min="41" max="41" width="14.875" style="11" customWidth="1"/>
    <col min="42" max="42" width="8.875" style="11" customWidth="1"/>
    <col min="43" max="43" width="9.125" style="29" customWidth="1"/>
    <col min="44" max="44" width="15.00390625" style="11" customWidth="1"/>
    <col min="45" max="45" width="9.625" style="6" customWidth="1"/>
    <col min="46" max="46" width="9.375" style="11" customWidth="1"/>
    <col min="47" max="47" width="11.00390625" style="11" customWidth="1"/>
    <col min="48" max="48" width="9.75390625" style="6" customWidth="1"/>
    <col min="49" max="49" width="9.25390625" style="32" customWidth="1"/>
    <col min="50" max="50" width="13.125" style="11" customWidth="1"/>
    <col min="51" max="51" width="10.25390625" style="6" customWidth="1"/>
    <col min="52" max="52" width="11.00390625" style="32" customWidth="1"/>
    <col min="53" max="53" width="12.125" style="11" customWidth="1"/>
    <col min="54" max="54" width="11.625" style="6" customWidth="1"/>
    <col min="55" max="16384" width="9.125" style="11" customWidth="1"/>
  </cols>
  <sheetData>
    <row r="1" spans="1:54" s="1" customFormat="1" ht="57" customHeight="1">
      <c r="A1" s="86" t="s">
        <v>74</v>
      </c>
      <c r="B1" s="86"/>
      <c r="C1" s="86"/>
      <c r="D1" s="86"/>
      <c r="E1" s="86"/>
      <c r="F1" s="86"/>
      <c r="G1" s="86"/>
      <c r="H1" s="86"/>
      <c r="I1" s="86"/>
      <c r="L1" s="6"/>
      <c r="M1" s="2"/>
      <c r="N1" s="4"/>
      <c r="Q1" s="3"/>
      <c r="S1" s="3"/>
      <c r="U1" s="7"/>
      <c r="V1" s="3"/>
      <c r="W1" s="8"/>
      <c r="X1" s="4"/>
      <c r="AA1" s="8"/>
      <c r="AF1" s="9"/>
      <c r="AG1" s="4"/>
      <c r="AH1" s="4"/>
      <c r="AI1" s="10"/>
      <c r="AN1" s="4"/>
      <c r="AQ1" s="2"/>
      <c r="AS1" s="3"/>
      <c r="AV1" s="3"/>
      <c r="AW1" s="4"/>
      <c r="AY1" s="3"/>
      <c r="AZ1" s="4"/>
      <c r="BA1" s="11"/>
      <c r="BB1" s="3"/>
    </row>
    <row r="2" spans="1:55" s="12" customFormat="1" ht="49.5" customHeight="1">
      <c r="A2" s="84" t="s">
        <v>0</v>
      </c>
      <c r="B2" s="84" t="s">
        <v>1</v>
      </c>
      <c r="C2" s="84" t="s">
        <v>2</v>
      </c>
      <c r="D2" s="84" t="s">
        <v>11</v>
      </c>
      <c r="E2" s="84"/>
      <c r="F2" s="84"/>
      <c r="G2" s="84"/>
      <c r="H2" s="84"/>
      <c r="I2" s="84"/>
      <c r="J2" s="84" t="s">
        <v>13</v>
      </c>
      <c r="K2" s="84"/>
      <c r="L2" s="84"/>
      <c r="M2" s="84"/>
      <c r="N2" s="84"/>
      <c r="O2" s="84" t="s">
        <v>14</v>
      </c>
      <c r="P2" s="84"/>
      <c r="Q2" s="84"/>
      <c r="R2" s="84"/>
      <c r="S2" s="84"/>
      <c r="T2" s="84" t="s">
        <v>15</v>
      </c>
      <c r="U2" s="84"/>
      <c r="V2" s="84"/>
      <c r="W2" s="84"/>
      <c r="X2" s="84"/>
      <c r="Y2" s="87" t="s">
        <v>78</v>
      </c>
      <c r="Z2" s="88"/>
      <c r="AA2" s="88"/>
      <c r="AB2" s="88"/>
      <c r="AC2" s="89"/>
      <c r="AD2" s="87" t="s">
        <v>17</v>
      </c>
      <c r="AE2" s="88"/>
      <c r="AF2" s="88"/>
      <c r="AG2" s="88"/>
      <c r="AH2" s="89"/>
      <c r="AI2" s="90" t="s">
        <v>18</v>
      </c>
      <c r="AJ2" s="90"/>
      <c r="AK2" s="90"/>
      <c r="AL2" s="88" t="s">
        <v>36</v>
      </c>
      <c r="AM2" s="88"/>
      <c r="AN2" s="89"/>
      <c r="AO2" s="84" t="s">
        <v>19</v>
      </c>
      <c r="AP2" s="84"/>
      <c r="AQ2" s="84"/>
      <c r="AR2" s="87" t="s">
        <v>20</v>
      </c>
      <c r="AS2" s="88"/>
      <c r="AT2" s="89"/>
      <c r="AU2" s="87" t="s">
        <v>21</v>
      </c>
      <c r="AV2" s="88"/>
      <c r="AW2" s="89"/>
      <c r="AX2" s="84" t="s">
        <v>22</v>
      </c>
      <c r="AY2" s="84"/>
      <c r="AZ2" s="84"/>
      <c r="BA2" s="84" t="s">
        <v>23</v>
      </c>
      <c r="BB2" s="84"/>
      <c r="BC2" s="84"/>
    </row>
    <row r="3" spans="1:55" s="12" customFormat="1" ht="168.75">
      <c r="A3" s="84"/>
      <c r="B3" s="84"/>
      <c r="C3" s="84"/>
      <c r="D3" s="42" t="s">
        <v>75</v>
      </c>
      <c r="E3" s="46" t="s">
        <v>76</v>
      </c>
      <c r="F3" s="43" t="s">
        <v>24</v>
      </c>
      <c r="G3" s="44" t="s">
        <v>3</v>
      </c>
      <c r="H3" s="45" t="s">
        <v>4</v>
      </c>
      <c r="I3" s="43" t="s">
        <v>60</v>
      </c>
      <c r="J3" s="43" t="s">
        <v>25</v>
      </c>
      <c r="K3" s="43" t="s">
        <v>26</v>
      </c>
      <c r="L3" s="44" t="s">
        <v>3</v>
      </c>
      <c r="M3" s="45" t="s">
        <v>4</v>
      </c>
      <c r="N3" s="43" t="s">
        <v>60</v>
      </c>
      <c r="O3" s="43" t="s">
        <v>27</v>
      </c>
      <c r="P3" s="43" t="s">
        <v>28</v>
      </c>
      <c r="Q3" s="44" t="s">
        <v>3</v>
      </c>
      <c r="R3" s="43" t="s">
        <v>4</v>
      </c>
      <c r="S3" s="43" t="s">
        <v>60</v>
      </c>
      <c r="T3" s="43" t="s">
        <v>65</v>
      </c>
      <c r="U3" s="43" t="s">
        <v>77</v>
      </c>
      <c r="V3" s="44" t="s">
        <v>3</v>
      </c>
      <c r="W3" s="43" t="s">
        <v>4</v>
      </c>
      <c r="X3" s="43" t="s">
        <v>60</v>
      </c>
      <c r="Y3" s="42" t="s">
        <v>79</v>
      </c>
      <c r="Z3" s="42" t="s">
        <v>80</v>
      </c>
      <c r="AA3" s="47" t="s">
        <v>3</v>
      </c>
      <c r="AB3" s="43" t="s">
        <v>4</v>
      </c>
      <c r="AC3" s="43" t="s">
        <v>60</v>
      </c>
      <c r="AD3" s="42" t="s">
        <v>34</v>
      </c>
      <c r="AE3" s="42" t="s">
        <v>33</v>
      </c>
      <c r="AF3" s="47" t="s">
        <v>3</v>
      </c>
      <c r="AG3" s="43" t="s">
        <v>4</v>
      </c>
      <c r="AH3" s="43" t="s">
        <v>60</v>
      </c>
      <c r="AI3" s="48" t="s">
        <v>35</v>
      </c>
      <c r="AJ3" s="43" t="s">
        <v>4</v>
      </c>
      <c r="AK3" s="43" t="s">
        <v>60</v>
      </c>
      <c r="AL3" s="48" t="s">
        <v>37</v>
      </c>
      <c r="AM3" s="43" t="s">
        <v>4</v>
      </c>
      <c r="AN3" s="43" t="s">
        <v>60</v>
      </c>
      <c r="AO3" s="48" t="s">
        <v>39</v>
      </c>
      <c r="AP3" s="43" t="s">
        <v>4</v>
      </c>
      <c r="AQ3" s="43" t="s">
        <v>60</v>
      </c>
      <c r="AR3" s="48" t="s">
        <v>38</v>
      </c>
      <c r="AS3" s="43" t="s">
        <v>4</v>
      </c>
      <c r="AT3" s="43" t="s">
        <v>60</v>
      </c>
      <c r="AU3" s="48" t="s">
        <v>40</v>
      </c>
      <c r="AV3" s="43" t="s">
        <v>4</v>
      </c>
      <c r="AW3" s="43" t="s">
        <v>60</v>
      </c>
      <c r="AX3" s="48" t="s">
        <v>41</v>
      </c>
      <c r="AY3" s="43" t="s">
        <v>4</v>
      </c>
      <c r="AZ3" s="43" t="s">
        <v>60</v>
      </c>
      <c r="BA3" s="48" t="s">
        <v>42</v>
      </c>
      <c r="BB3" s="43" t="s">
        <v>4</v>
      </c>
      <c r="BC3" s="43" t="s">
        <v>60</v>
      </c>
    </row>
    <row r="4" spans="1:55" ht="24.75" customHeight="1">
      <c r="A4" s="13" t="s">
        <v>6</v>
      </c>
      <c r="B4" s="14">
        <f aca="true" t="shared" si="0" ref="B4:B9">I4+N4+S4+X4+AC4+AH4+AK4+AN4+AQ4+AT4+AW4+AZ4+BC4</f>
        <v>20</v>
      </c>
      <c r="C4" s="14">
        <f aca="true" t="shared" si="1" ref="C4:C9">RANK(B4,B$4:B$9)</f>
        <v>5</v>
      </c>
      <c r="D4" s="71">
        <v>192014.6</v>
      </c>
      <c r="E4" s="69">
        <v>0</v>
      </c>
      <c r="F4" s="71">
        <v>192014.6</v>
      </c>
      <c r="G4" s="17">
        <f aca="true" t="shared" si="2" ref="G4:G9">(D4+E4)/(F4)</f>
        <v>1</v>
      </c>
      <c r="H4" s="28">
        <f aca="true" t="shared" si="3" ref="H4:H9">G4</f>
        <v>1</v>
      </c>
      <c r="I4" s="20">
        <f aca="true" t="shared" si="4" ref="I4:I9">IF(AND(H4&lt;0.1),-1,IF(OR(AND(H4&gt;=0.1,H4&lt;=0.6),AND(H4&gt;0.6,)),2,5))</f>
        <v>5</v>
      </c>
      <c r="J4" s="71">
        <v>172</v>
      </c>
      <c r="K4" s="70">
        <v>2</v>
      </c>
      <c r="L4" s="19">
        <f aca="true" t="shared" si="5" ref="L4:L9">J4/(K4*12)</f>
        <v>7.166666666666667</v>
      </c>
      <c r="M4" s="28">
        <f aca="true" t="shared" si="6" ref="M4:M9">L4</f>
        <v>7.166666666666667</v>
      </c>
      <c r="N4" s="20">
        <f aca="true" t="shared" si="7" ref="N4:N9">IF(AND(M4&gt;4),0,IF(OR(AND(M4&gt;=2,M4&lt;=4),AND(M4&lt;2,)),1,2))</f>
        <v>0</v>
      </c>
      <c r="O4" s="16">
        <v>2305.5</v>
      </c>
      <c r="P4" s="22">
        <v>2310.7</v>
      </c>
      <c r="Q4" s="19">
        <f>1-(O4/P4)</f>
        <v>0.0022504003115938476</v>
      </c>
      <c r="R4" s="28">
        <f aca="true" t="shared" si="8" ref="R4:R9">Q4</f>
        <v>0.0022504003115938476</v>
      </c>
      <c r="S4" s="20">
        <f aca="true" t="shared" si="9" ref="S4:S9">IF(AND(R4&gt;0.1),-1,IF(OR(AND(R4&gt;=0.1),AND(R4&lt;0.05,)),1,3))</f>
        <v>3</v>
      </c>
      <c r="T4" s="71">
        <v>52.75</v>
      </c>
      <c r="U4" s="71">
        <v>52.75</v>
      </c>
      <c r="V4" s="19">
        <f aca="true" t="shared" si="10" ref="V4:V9">T4/U4</f>
        <v>1</v>
      </c>
      <c r="W4" s="28">
        <f aca="true" t="shared" si="11" ref="W4:W9">V4</f>
        <v>1</v>
      </c>
      <c r="X4" s="36">
        <f aca="true" t="shared" si="12" ref="X4:X9">IF(AND(W4&gt;0.9),5,IF(OR(AND(W4&lt;=0.9),),0))</f>
        <v>5</v>
      </c>
      <c r="Y4" s="72">
        <v>190475</v>
      </c>
      <c r="Z4" s="71">
        <f>D4</f>
        <v>192014.6</v>
      </c>
      <c r="AA4" s="24">
        <f aca="true" t="shared" si="13" ref="AA4:AA9">Y4/Z4</f>
        <v>0.991981859712751</v>
      </c>
      <c r="AB4" s="31">
        <f aca="true" t="shared" si="14" ref="AB4:AB9">AA4</f>
        <v>0.991981859712751</v>
      </c>
      <c r="AC4" s="20">
        <f aca="true" t="shared" si="15" ref="AC4:AC9">IF(AND(AB4&gt;0.95),5,IF(OR(AND(AB4&lt;=0.95),),0))</f>
        <v>5</v>
      </c>
      <c r="AD4" s="76">
        <v>130666.6</v>
      </c>
      <c r="AE4" s="76">
        <v>132138.4</v>
      </c>
      <c r="AF4" s="24">
        <f aca="true" t="shared" si="16" ref="AF4:AF9">AD4/AE4</f>
        <v>0.9888616783614756</v>
      </c>
      <c r="AG4" s="31">
        <f aca="true" t="shared" si="17" ref="AG4:AG9">AF4</f>
        <v>0.9888616783614756</v>
      </c>
      <c r="AH4" s="20">
        <f aca="true" t="shared" si="18" ref="AH4:AH9">IF(AND(AG4&gt;0.9),3,IF(OR(AND(AG4&lt;=0.9),),0))</f>
        <v>3</v>
      </c>
      <c r="AI4" s="26">
        <v>5</v>
      </c>
      <c r="AJ4" s="18" t="s">
        <v>5</v>
      </c>
      <c r="AK4" s="20">
        <f aca="true" t="shared" si="19" ref="AK4:AK9">IF(AI4&lt;=0,3,0)</f>
        <v>0</v>
      </c>
      <c r="AL4" s="26">
        <v>0</v>
      </c>
      <c r="AM4" s="18" t="s">
        <v>5</v>
      </c>
      <c r="AN4" s="20">
        <f aca="true" t="shared" si="20" ref="AN4:AN9">IF(AL4&lt;=0,0,-1)</f>
        <v>0</v>
      </c>
      <c r="AO4" s="26">
        <v>0</v>
      </c>
      <c r="AP4" s="18" t="s">
        <v>5</v>
      </c>
      <c r="AQ4" s="20">
        <f aca="true" t="shared" si="21" ref="AQ4:AQ9">IF(AO4&lt;=0,0,-1)</f>
        <v>0</v>
      </c>
      <c r="AR4" s="26">
        <v>0</v>
      </c>
      <c r="AS4" s="18" t="s">
        <v>5</v>
      </c>
      <c r="AT4" s="20">
        <f aca="true" t="shared" si="22" ref="AT4:AT9">IF(AR4&lt;=0,0,-1)</f>
        <v>0</v>
      </c>
      <c r="AU4" s="26">
        <v>0</v>
      </c>
      <c r="AV4" s="18" t="s">
        <v>5</v>
      </c>
      <c r="AW4" s="20">
        <f aca="true" t="shared" si="23" ref="AW4:AW9">IF(AU4&lt;=0,0,-1)</f>
        <v>0</v>
      </c>
      <c r="AX4" s="60">
        <v>1</v>
      </c>
      <c r="AY4" s="18" t="s">
        <v>5</v>
      </c>
      <c r="AZ4" s="20">
        <f aca="true" t="shared" si="24" ref="AZ4:AZ9">IF(AX4&lt;=0,0,-1)</f>
        <v>-1</v>
      </c>
      <c r="BA4" s="26">
        <v>0</v>
      </c>
      <c r="BB4" s="18" t="s">
        <v>5</v>
      </c>
      <c r="BC4" s="20">
        <f aca="true" t="shared" si="25" ref="BC4:BC9">IF(BA4&lt;=0,0,-1)</f>
        <v>0</v>
      </c>
    </row>
    <row r="5" spans="1:55" ht="24.75" customHeight="1">
      <c r="A5" s="13" t="s">
        <v>7</v>
      </c>
      <c r="B5" s="14">
        <f t="shared" si="0"/>
        <v>20</v>
      </c>
      <c r="C5" s="14">
        <f t="shared" si="1"/>
        <v>5</v>
      </c>
      <c r="D5" s="71">
        <v>308668.2</v>
      </c>
      <c r="E5" s="69">
        <v>0</v>
      </c>
      <c r="F5" s="71">
        <v>308668.2</v>
      </c>
      <c r="G5" s="17">
        <f t="shared" si="2"/>
        <v>1</v>
      </c>
      <c r="H5" s="28">
        <f t="shared" si="3"/>
        <v>1</v>
      </c>
      <c r="I5" s="20">
        <f t="shared" si="4"/>
        <v>5</v>
      </c>
      <c r="J5" s="71">
        <v>1779</v>
      </c>
      <c r="K5" s="70">
        <v>27</v>
      </c>
      <c r="L5" s="19">
        <f t="shared" si="5"/>
        <v>5.4907407407407405</v>
      </c>
      <c r="M5" s="28">
        <f t="shared" si="6"/>
        <v>5.4907407407407405</v>
      </c>
      <c r="N5" s="20">
        <f t="shared" si="7"/>
        <v>0</v>
      </c>
      <c r="O5" s="16">
        <v>27699.2</v>
      </c>
      <c r="P5" s="22">
        <v>28713.2</v>
      </c>
      <c r="Q5" s="19">
        <f>1-(O5/P5)</f>
        <v>0.03531476812058565</v>
      </c>
      <c r="R5" s="28">
        <f t="shared" si="8"/>
        <v>0.03531476812058565</v>
      </c>
      <c r="S5" s="20">
        <f t="shared" si="9"/>
        <v>3</v>
      </c>
      <c r="T5" s="71">
        <v>6597.5</v>
      </c>
      <c r="U5" s="71">
        <f>1374+2643+2532+45.5+3</f>
        <v>6597.5</v>
      </c>
      <c r="V5" s="19">
        <f t="shared" si="10"/>
        <v>1</v>
      </c>
      <c r="W5" s="28">
        <f t="shared" si="11"/>
        <v>1</v>
      </c>
      <c r="X5" s="36">
        <f t="shared" si="12"/>
        <v>5</v>
      </c>
      <c r="Y5" s="75">
        <v>308261.5</v>
      </c>
      <c r="Z5" s="71">
        <f>D5</f>
        <v>308668.2</v>
      </c>
      <c r="AA5" s="24">
        <f t="shared" si="13"/>
        <v>0.9986824039535008</v>
      </c>
      <c r="AB5" s="31">
        <f t="shared" si="14"/>
        <v>0.9986824039535008</v>
      </c>
      <c r="AC5" s="20">
        <f t="shared" si="15"/>
        <v>5</v>
      </c>
      <c r="AD5" s="76">
        <v>210771.7</v>
      </c>
      <c r="AE5" s="76">
        <v>211154.3</v>
      </c>
      <c r="AF5" s="24">
        <f t="shared" si="16"/>
        <v>0.9981880548963484</v>
      </c>
      <c r="AG5" s="31">
        <f t="shared" si="17"/>
        <v>0.9981880548963484</v>
      </c>
      <c r="AH5" s="20">
        <f t="shared" si="18"/>
        <v>3</v>
      </c>
      <c r="AI5" s="26">
        <v>43</v>
      </c>
      <c r="AJ5" s="18" t="s">
        <v>5</v>
      </c>
      <c r="AK5" s="20">
        <f t="shared" si="19"/>
        <v>0</v>
      </c>
      <c r="AL5" s="26">
        <v>0</v>
      </c>
      <c r="AM5" s="18" t="s">
        <v>5</v>
      </c>
      <c r="AN5" s="20">
        <f t="shared" si="20"/>
        <v>0</v>
      </c>
      <c r="AO5" s="26">
        <v>1</v>
      </c>
      <c r="AP5" s="18" t="s">
        <v>5</v>
      </c>
      <c r="AQ5" s="20">
        <f t="shared" si="21"/>
        <v>-1</v>
      </c>
      <c r="AR5" s="26">
        <v>0</v>
      </c>
      <c r="AS5" s="18" t="s">
        <v>5</v>
      </c>
      <c r="AT5" s="20">
        <f t="shared" si="22"/>
        <v>0</v>
      </c>
      <c r="AU5" s="26">
        <v>0</v>
      </c>
      <c r="AV5" s="18" t="s">
        <v>5</v>
      </c>
      <c r="AW5" s="20">
        <f t="shared" si="23"/>
        <v>0</v>
      </c>
      <c r="AX5" s="60">
        <v>0</v>
      </c>
      <c r="AY5" s="18" t="s">
        <v>5</v>
      </c>
      <c r="AZ5" s="20">
        <f t="shared" si="24"/>
        <v>0</v>
      </c>
      <c r="BA5" s="26">
        <v>0</v>
      </c>
      <c r="BB5" s="18" t="s">
        <v>5</v>
      </c>
      <c r="BC5" s="20">
        <f t="shared" si="25"/>
        <v>0</v>
      </c>
    </row>
    <row r="6" spans="1:55" ht="24.75" customHeight="1">
      <c r="A6" s="13" t="s">
        <v>8</v>
      </c>
      <c r="B6" s="14">
        <f t="shared" si="0"/>
        <v>21</v>
      </c>
      <c r="C6" s="14">
        <f t="shared" si="1"/>
        <v>3</v>
      </c>
      <c r="D6" s="71">
        <v>52369.1</v>
      </c>
      <c r="E6" s="69">
        <v>0</v>
      </c>
      <c r="F6" s="71">
        <v>52369.1</v>
      </c>
      <c r="G6" s="17">
        <f t="shared" si="2"/>
        <v>1</v>
      </c>
      <c r="H6" s="28">
        <f t="shared" si="3"/>
        <v>1</v>
      </c>
      <c r="I6" s="20">
        <f t="shared" si="4"/>
        <v>5</v>
      </c>
      <c r="J6" s="71">
        <v>260</v>
      </c>
      <c r="K6" s="70">
        <v>7</v>
      </c>
      <c r="L6" s="19">
        <f t="shared" si="5"/>
        <v>3.0952380952380953</v>
      </c>
      <c r="M6" s="28">
        <f t="shared" si="6"/>
        <v>3.0952380952380953</v>
      </c>
      <c r="N6" s="20">
        <f t="shared" si="7"/>
        <v>1</v>
      </c>
      <c r="O6" s="16">
        <v>2481.4</v>
      </c>
      <c r="P6" s="22">
        <v>2508.9</v>
      </c>
      <c r="Q6" s="19">
        <f>1-(O6/P6)</f>
        <v>0.010960978915062425</v>
      </c>
      <c r="R6" s="28">
        <f t="shared" si="8"/>
        <v>0.010960978915062425</v>
      </c>
      <c r="S6" s="20">
        <f t="shared" si="9"/>
        <v>3</v>
      </c>
      <c r="T6" s="71">
        <f>206+3.4+1819+394+7+4</f>
        <v>2433.4</v>
      </c>
      <c r="U6" s="71">
        <f>202+3.4+368+1849+7+4</f>
        <v>2433.4</v>
      </c>
      <c r="V6" s="19">
        <f t="shared" si="10"/>
        <v>1</v>
      </c>
      <c r="W6" s="28">
        <f t="shared" si="11"/>
        <v>1</v>
      </c>
      <c r="X6" s="36">
        <f t="shared" si="12"/>
        <v>5</v>
      </c>
      <c r="Y6" s="72">
        <v>52223</v>
      </c>
      <c r="Z6" s="71">
        <f>D6</f>
        <v>52369.1</v>
      </c>
      <c r="AA6" s="24">
        <f t="shared" si="13"/>
        <v>0.9972101869232047</v>
      </c>
      <c r="AB6" s="31">
        <f t="shared" si="14"/>
        <v>0.9972101869232047</v>
      </c>
      <c r="AC6" s="20">
        <f t="shared" si="15"/>
        <v>5</v>
      </c>
      <c r="AD6" s="76">
        <v>16555.7</v>
      </c>
      <c r="AE6" s="76">
        <v>16571.4</v>
      </c>
      <c r="AF6" s="24">
        <f t="shared" si="16"/>
        <v>0.9990525845734216</v>
      </c>
      <c r="AG6" s="31">
        <f t="shared" si="17"/>
        <v>0.9990525845734216</v>
      </c>
      <c r="AH6" s="20">
        <f t="shared" si="18"/>
        <v>3</v>
      </c>
      <c r="AI6" s="26">
        <v>6</v>
      </c>
      <c r="AJ6" s="18" t="s">
        <v>5</v>
      </c>
      <c r="AK6" s="20">
        <f t="shared" si="19"/>
        <v>0</v>
      </c>
      <c r="AL6" s="26">
        <v>0</v>
      </c>
      <c r="AM6" s="18" t="s">
        <v>5</v>
      </c>
      <c r="AN6" s="20">
        <f t="shared" si="20"/>
        <v>0</v>
      </c>
      <c r="AO6" s="26">
        <v>1</v>
      </c>
      <c r="AP6" s="18" t="s">
        <v>5</v>
      </c>
      <c r="AQ6" s="20">
        <f t="shared" si="21"/>
        <v>-1</v>
      </c>
      <c r="AR6" s="26">
        <v>0</v>
      </c>
      <c r="AS6" s="18" t="s">
        <v>5</v>
      </c>
      <c r="AT6" s="20">
        <f t="shared" si="22"/>
        <v>0</v>
      </c>
      <c r="AU6" s="26">
        <v>0</v>
      </c>
      <c r="AV6" s="18" t="s">
        <v>5</v>
      </c>
      <c r="AW6" s="20">
        <f t="shared" si="23"/>
        <v>0</v>
      </c>
      <c r="AX6" s="60">
        <v>0</v>
      </c>
      <c r="AY6" s="18" t="s">
        <v>5</v>
      </c>
      <c r="AZ6" s="20">
        <f t="shared" si="24"/>
        <v>0</v>
      </c>
      <c r="BA6" s="60">
        <v>0</v>
      </c>
      <c r="BB6" s="18" t="s">
        <v>5</v>
      </c>
      <c r="BC6" s="20">
        <f t="shared" si="25"/>
        <v>0</v>
      </c>
    </row>
    <row r="7" spans="1:55" ht="24.75" customHeight="1">
      <c r="A7" s="13" t="s">
        <v>9</v>
      </c>
      <c r="B7" s="14">
        <f t="shared" si="0"/>
        <v>26</v>
      </c>
      <c r="C7" s="14">
        <f t="shared" si="1"/>
        <v>1</v>
      </c>
      <c r="D7" s="71">
        <v>30427.9</v>
      </c>
      <c r="E7" s="69">
        <v>0</v>
      </c>
      <c r="F7" s="71">
        <v>30427.9</v>
      </c>
      <c r="G7" s="17">
        <f t="shared" si="2"/>
        <v>1</v>
      </c>
      <c r="H7" s="28">
        <f t="shared" si="3"/>
        <v>1</v>
      </c>
      <c r="I7" s="20">
        <f t="shared" si="4"/>
        <v>5</v>
      </c>
      <c r="J7" s="71">
        <v>27</v>
      </c>
      <c r="K7" s="70">
        <v>10</v>
      </c>
      <c r="L7" s="19">
        <f t="shared" si="5"/>
        <v>0.225</v>
      </c>
      <c r="M7" s="28">
        <f t="shared" si="6"/>
        <v>0.225</v>
      </c>
      <c r="N7" s="20">
        <f t="shared" si="7"/>
        <v>2</v>
      </c>
      <c r="O7" s="27">
        <v>269.6</v>
      </c>
      <c r="P7" s="35">
        <v>270.9</v>
      </c>
      <c r="Q7" s="19">
        <v>0</v>
      </c>
      <c r="R7" s="28">
        <f t="shared" si="8"/>
        <v>0</v>
      </c>
      <c r="S7" s="20">
        <f t="shared" si="9"/>
        <v>3</v>
      </c>
      <c r="T7" s="72">
        <v>15</v>
      </c>
      <c r="U7" s="73">
        <v>15</v>
      </c>
      <c r="V7" s="19">
        <f t="shared" si="10"/>
        <v>1</v>
      </c>
      <c r="W7" s="28">
        <f t="shared" si="11"/>
        <v>1</v>
      </c>
      <c r="X7" s="36">
        <f t="shared" si="12"/>
        <v>5</v>
      </c>
      <c r="Y7" s="72">
        <v>52223.7</v>
      </c>
      <c r="Z7" s="71">
        <f>D7</f>
        <v>30427.9</v>
      </c>
      <c r="AA7" s="24">
        <f t="shared" si="13"/>
        <v>1.716309702608461</v>
      </c>
      <c r="AB7" s="31">
        <f t="shared" si="14"/>
        <v>1.716309702608461</v>
      </c>
      <c r="AC7" s="20">
        <f t="shared" si="15"/>
        <v>5</v>
      </c>
      <c r="AD7" s="76">
        <v>12461.2</v>
      </c>
      <c r="AE7" s="76">
        <v>12465.4</v>
      </c>
      <c r="AF7" s="24">
        <f t="shared" si="16"/>
        <v>0.9996630673704816</v>
      </c>
      <c r="AG7" s="31">
        <f t="shared" si="17"/>
        <v>0.9996630673704816</v>
      </c>
      <c r="AH7" s="20">
        <f t="shared" si="18"/>
        <v>3</v>
      </c>
      <c r="AI7" s="26">
        <v>0</v>
      </c>
      <c r="AJ7" s="18" t="s">
        <v>5</v>
      </c>
      <c r="AK7" s="20">
        <f t="shared" si="19"/>
        <v>3</v>
      </c>
      <c r="AL7" s="26">
        <v>0</v>
      </c>
      <c r="AM7" s="18" t="s">
        <v>5</v>
      </c>
      <c r="AN7" s="20">
        <f t="shared" si="20"/>
        <v>0</v>
      </c>
      <c r="AO7" s="26">
        <v>0</v>
      </c>
      <c r="AP7" s="18" t="s">
        <v>5</v>
      </c>
      <c r="AQ7" s="20">
        <f t="shared" si="21"/>
        <v>0</v>
      </c>
      <c r="AR7" s="26">
        <v>0</v>
      </c>
      <c r="AS7" s="18" t="s">
        <v>5</v>
      </c>
      <c r="AT7" s="20">
        <f t="shared" si="22"/>
        <v>0</v>
      </c>
      <c r="AU7" s="26">
        <v>0</v>
      </c>
      <c r="AV7" s="18" t="s">
        <v>5</v>
      </c>
      <c r="AW7" s="20">
        <f t="shared" si="23"/>
        <v>0</v>
      </c>
      <c r="AX7" s="60">
        <v>0</v>
      </c>
      <c r="AY7" s="18" t="s">
        <v>5</v>
      </c>
      <c r="AZ7" s="20">
        <f t="shared" si="24"/>
        <v>0</v>
      </c>
      <c r="BA7" s="60">
        <v>0</v>
      </c>
      <c r="BB7" s="18" t="s">
        <v>5</v>
      </c>
      <c r="BC7" s="20">
        <f t="shared" si="25"/>
        <v>0</v>
      </c>
    </row>
    <row r="8" spans="1:55" s="1" customFormat="1" ht="24.75" customHeight="1">
      <c r="A8" s="13" t="s">
        <v>10</v>
      </c>
      <c r="B8" s="14">
        <f t="shared" si="0"/>
        <v>21</v>
      </c>
      <c r="C8" s="14">
        <f t="shared" si="1"/>
        <v>3</v>
      </c>
      <c r="D8" s="71">
        <v>11029.5</v>
      </c>
      <c r="E8" s="69">
        <v>0</v>
      </c>
      <c r="F8" s="71">
        <v>11029.5</v>
      </c>
      <c r="G8" s="17">
        <f t="shared" si="2"/>
        <v>1</v>
      </c>
      <c r="H8" s="28">
        <f t="shared" si="3"/>
        <v>1</v>
      </c>
      <c r="I8" s="20">
        <f t="shared" si="4"/>
        <v>5</v>
      </c>
      <c r="J8" s="71">
        <v>36</v>
      </c>
      <c r="K8" s="70">
        <v>1</v>
      </c>
      <c r="L8" s="19">
        <f t="shared" si="5"/>
        <v>3</v>
      </c>
      <c r="M8" s="28">
        <f t="shared" si="6"/>
        <v>3</v>
      </c>
      <c r="N8" s="20">
        <f t="shared" si="7"/>
        <v>1</v>
      </c>
      <c r="O8" s="16">
        <v>8346.6</v>
      </c>
      <c r="P8" s="22">
        <v>8373</v>
      </c>
      <c r="Q8" s="19">
        <f>1-(O8/P8)</f>
        <v>0.0031529917592260093</v>
      </c>
      <c r="R8" s="28">
        <f t="shared" si="8"/>
        <v>0.0031529917592260093</v>
      </c>
      <c r="S8" s="20">
        <f t="shared" si="9"/>
        <v>3</v>
      </c>
      <c r="T8" s="72">
        <v>0.01</v>
      </c>
      <c r="U8" s="73">
        <v>0.01</v>
      </c>
      <c r="V8" s="19">
        <f t="shared" si="10"/>
        <v>1</v>
      </c>
      <c r="W8" s="28">
        <f t="shared" si="11"/>
        <v>1</v>
      </c>
      <c r="X8" s="36">
        <f t="shared" si="12"/>
        <v>5</v>
      </c>
      <c r="Y8" s="75">
        <v>10623.8</v>
      </c>
      <c r="Z8" s="71">
        <f>D8</f>
        <v>11029.5</v>
      </c>
      <c r="AA8" s="24">
        <f t="shared" si="13"/>
        <v>0.9632168275987125</v>
      </c>
      <c r="AB8" s="31">
        <f t="shared" si="14"/>
        <v>0.9632168275987125</v>
      </c>
      <c r="AC8" s="20">
        <f t="shared" si="15"/>
        <v>5</v>
      </c>
      <c r="AD8" s="76">
        <v>6950.9</v>
      </c>
      <c r="AE8" s="76">
        <v>6954.2</v>
      </c>
      <c r="AF8" s="24">
        <f t="shared" si="16"/>
        <v>0.9995254666244859</v>
      </c>
      <c r="AG8" s="31">
        <f t="shared" si="17"/>
        <v>0.9995254666244859</v>
      </c>
      <c r="AH8" s="20">
        <f t="shared" si="18"/>
        <v>3</v>
      </c>
      <c r="AI8" s="26">
        <v>5</v>
      </c>
      <c r="AJ8" s="18" t="s">
        <v>5</v>
      </c>
      <c r="AK8" s="20">
        <f t="shared" si="19"/>
        <v>0</v>
      </c>
      <c r="AL8" s="26">
        <v>0</v>
      </c>
      <c r="AM8" s="18" t="s">
        <v>5</v>
      </c>
      <c r="AN8" s="20">
        <f t="shared" si="20"/>
        <v>0</v>
      </c>
      <c r="AO8" s="26">
        <v>0</v>
      </c>
      <c r="AP8" s="18" t="s">
        <v>5</v>
      </c>
      <c r="AQ8" s="20">
        <f t="shared" si="21"/>
        <v>0</v>
      </c>
      <c r="AR8" s="26">
        <v>0</v>
      </c>
      <c r="AS8" s="18" t="s">
        <v>5</v>
      </c>
      <c r="AT8" s="20">
        <f t="shared" si="22"/>
        <v>0</v>
      </c>
      <c r="AU8" s="26">
        <v>0</v>
      </c>
      <c r="AV8" s="18" t="s">
        <v>5</v>
      </c>
      <c r="AW8" s="20">
        <f t="shared" si="23"/>
        <v>0</v>
      </c>
      <c r="AX8" s="60">
        <v>1</v>
      </c>
      <c r="AY8" s="18" t="s">
        <v>5</v>
      </c>
      <c r="AZ8" s="20">
        <f t="shared" si="24"/>
        <v>-1</v>
      </c>
      <c r="BA8" s="26">
        <v>0</v>
      </c>
      <c r="BB8" s="18" t="s">
        <v>5</v>
      </c>
      <c r="BC8" s="20">
        <f t="shared" si="25"/>
        <v>0</v>
      </c>
    </row>
    <row r="9" spans="1:55" s="1" customFormat="1" ht="24.75" customHeight="1">
      <c r="A9" s="13" t="s">
        <v>44</v>
      </c>
      <c r="B9" s="14">
        <f t="shared" si="0"/>
        <v>26</v>
      </c>
      <c r="C9" s="14">
        <f t="shared" si="1"/>
        <v>1</v>
      </c>
      <c r="D9" s="71">
        <v>0.0001</v>
      </c>
      <c r="E9" s="69">
        <v>0</v>
      </c>
      <c r="F9" s="71">
        <v>0.0001</v>
      </c>
      <c r="G9" s="17">
        <f t="shared" si="2"/>
        <v>1</v>
      </c>
      <c r="H9" s="28">
        <f t="shared" si="3"/>
        <v>1</v>
      </c>
      <c r="I9" s="20">
        <f t="shared" si="4"/>
        <v>5</v>
      </c>
      <c r="J9" s="71">
        <v>19</v>
      </c>
      <c r="K9" s="70">
        <v>1</v>
      </c>
      <c r="L9" s="19">
        <f t="shared" si="5"/>
        <v>1.5833333333333333</v>
      </c>
      <c r="M9" s="28">
        <f t="shared" si="6"/>
        <v>1.5833333333333333</v>
      </c>
      <c r="N9" s="20">
        <f t="shared" si="7"/>
        <v>2</v>
      </c>
      <c r="O9" s="16">
        <v>1.5</v>
      </c>
      <c r="P9" s="22">
        <v>1.5</v>
      </c>
      <c r="Q9" s="19">
        <f>1-(O9/P9)</f>
        <v>0</v>
      </c>
      <c r="R9" s="28">
        <f t="shared" si="8"/>
        <v>0</v>
      </c>
      <c r="S9" s="20">
        <f t="shared" si="9"/>
        <v>3</v>
      </c>
      <c r="T9" s="69">
        <v>8.25</v>
      </c>
      <c r="U9" s="74">
        <v>8.25</v>
      </c>
      <c r="V9" s="19">
        <f t="shared" si="10"/>
        <v>1</v>
      </c>
      <c r="W9" s="28">
        <f t="shared" si="11"/>
        <v>1</v>
      </c>
      <c r="X9" s="36">
        <f t="shared" si="12"/>
        <v>5</v>
      </c>
      <c r="Y9" s="72">
        <v>0.001</v>
      </c>
      <c r="Z9" s="71">
        <v>0.001</v>
      </c>
      <c r="AA9" s="24">
        <f t="shared" si="13"/>
        <v>1</v>
      </c>
      <c r="AB9" s="31">
        <f t="shared" si="14"/>
        <v>1</v>
      </c>
      <c r="AC9" s="20">
        <f t="shared" si="15"/>
        <v>5</v>
      </c>
      <c r="AD9" s="76">
        <v>7.7</v>
      </c>
      <c r="AE9" s="76">
        <v>7.7</v>
      </c>
      <c r="AF9" s="24">
        <f t="shared" si="16"/>
        <v>1</v>
      </c>
      <c r="AG9" s="31">
        <f t="shared" si="17"/>
        <v>1</v>
      </c>
      <c r="AH9" s="20">
        <f t="shared" si="18"/>
        <v>3</v>
      </c>
      <c r="AI9" s="26">
        <v>0</v>
      </c>
      <c r="AJ9" s="18" t="s">
        <v>5</v>
      </c>
      <c r="AK9" s="20">
        <f t="shared" si="19"/>
        <v>3</v>
      </c>
      <c r="AL9" s="26">
        <v>0</v>
      </c>
      <c r="AM9" s="18" t="s">
        <v>5</v>
      </c>
      <c r="AN9" s="20">
        <f t="shared" si="20"/>
        <v>0</v>
      </c>
      <c r="AO9" s="26">
        <v>0</v>
      </c>
      <c r="AP9" s="18" t="s">
        <v>5</v>
      </c>
      <c r="AQ9" s="20">
        <f t="shared" si="21"/>
        <v>0</v>
      </c>
      <c r="AR9" s="26">
        <v>0</v>
      </c>
      <c r="AS9" s="18" t="s">
        <v>5</v>
      </c>
      <c r="AT9" s="20">
        <f t="shared" si="22"/>
        <v>0</v>
      </c>
      <c r="AU9" s="26">
        <v>0</v>
      </c>
      <c r="AV9" s="18" t="s">
        <v>5</v>
      </c>
      <c r="AW9" s="20">
        <f t="shared" si="23"/>
        <v>0</v>
      </c>
      <c r="AX9" s="60">
        <v>0</v>
      </c>
      <c r="AY9" s="18" t="s">
        <v>5</v>
      </c>
      <c r="AZ9" s="20">
        <f t="shared" si="24"/>
        <v>0</v>
      </c>
      <c r="BA9" s="26">
        <v>0</v>
      </c>
      <c r="BB9" s="18" t="s">
        <v>5</v>
      </c>
      <c r="BC9" s="20">
        <f t="shared" si="25"/>
        <v>0</v>
      </c>
    </row>
    <row r="10" spans="30:34" ht="12.75">
      <c r="AD10" s="11">
        <v>0</v>
      </c>
      <c r="AE10" s="11">
        <v>0</v>
      </c>
      <c r="AF10" s="24"/>
      <c r="AG10" s="31"/>
      <c r="AH10" s="18"/>
    </row>
    <row r="11" ht="12.75">
      <c r="O11" s="68"/>
    </row>
    <row r="12" spans="1:15" ht="12.75">
      <c r="A12" s="11" t="s">
        <v>46</v>
      </c>
      <c r="O12" s="68"/>
    </row>
    <row r="13" ht="12.75">
      <c r="O13" s="68"/>
    </row>
    <row r="14" ht="12.75">
      <c r="AD14" s="32"/>
    </row>
    <row r="15" spans="30:33" ht="12.75">
      <c r="AD15" s="77"/>
      <c r="AE15" s="77"/>
      <c r="AF15" s="78"/>
      <c r="AG15" s="79"/>
    </row>
    <row r="16" spans="30:33" ht="12.75">
      <c r="AD16" s="80"/>
      <c r="AE16" s="81"/>
      <c r="AF16" s="81"/>
      <c r="AG16" s="79"/>
    </row>
    <row r="17" spans="30:33" ht="12.75">
      <c r="AD17" s="80"/>
      <c r="AE17" s="81"/>
      <c r="AF17" s="81"/>
      <c r="AG17" s="79"/>
    </row>
    <row r="18" spans="30:33" ht="12.75">
      <c r="AD18" s="80"/>
      <c r="AE18" s="81"/>
      <c r="AF18" s="81"/>
      <c r="AG18" s="79"/>
    </row>
    <row r="19" spans="30:33" ht="12.75">
      <c r="AD19" s="80"/>
      <c r="AE19" s="81"/>
      <c r="AF19" s="81"/>
      <c r="AG19" s="79"/>
    </row>
    <row r="20" spans="30:33" ht="12.75">
      <c r="AD20" s="80"/>
      <c r="AE20" s="81"/>
      <c r="AF20" s="81"/>
      <c r="AG20" s="79"/>
    </row>
    <row r="21" spans="30:33" ht="12.75">
      <c r="AD21" s="80"/>
      <c r="AE21" s="81"/>
      <c r="AF21" s="81"/>
      <c r="AG21" s="79"/>
    </row>
    <row r="22" spans="30:33" ht="12.75">
      <c r="AD22" s="77"/>
      <c r="AE22" s="77"/>
      <c r="AF22" s="78"/>
      <c r="AG22" s="79"/>
    </row>
  </sheetData>
  <sheetProtection/>
  <mergeCells count="17">
    <mergeCell ref="AX2:AZ2"/>
    <mergeCell ref="BA2:BC2"/>
    <mergeCell ref="O2:S2"/>
    <mergeCell ref="T2:X2"/>
    <mergeCell ref="Y2:AC2"/>
    <mergeCell ref="AD2:AH2"/>
    <mergeCell ref="AI2:AK2"/>
    <mergeCell ref="AL2:AN2"/>
    <mergeCell ref="AO2:AQ2"/>
    <mergeCell ref="AR2:AT2"/>
    <mergeCell ref="AU2:AW2"/>
    <mergeCell ref="J2:N2"/>
    <mergeCell ref="A1:I1"/>
    <mergeCell ref="A2:A3"/>
    <mergeCell ref="B2:B3"/>
    <mergeCell ref="C2:C3"/>
    <mergeCell ref="D2:I2"/>
  </mergeCells>
  <printOptions/>
  <pageMargins left="0.25" right="0.25" top="1" bottom="1" header="0.5" footer="0.5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2"/>
  <sheetViews>
    <sheetView tabSelected="1" zoomScalePageLayoutView="0" workbookViewId="0" topLeftCell="A1">
      <pane xSplit="1" ySplit="3" topLeftCell="A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U6" sqref="AU6"/>
    </sheetView>
  </sheetViews>
  <sheetFormatPr defaultColWidth="9.00390625" defaultRowHeight="12.75"/>
  <cols>
    <col min="1" max="1" width="29.125" style="11" customWidth="1"/>
    <col min="2" max="2" width="14.375" style="11" customWidth="1"/>
    <col min="3" max="3" width="11.00390625" style="11" customWidth="1"/>
    <col min="4" max="4" width="12.75390625" style="11" customWidth="1"/>
    <col min="5" max="5" width="13.125" style="11" customWidth="1"/>
    <col min="6" max="6" width="13.75390625" style="11" customWidth="1"/>
    <col min="7" max="7" width="10.625" style="6" customWidth="1"/>
    <col min="8" max="8" width="10.625" style="29" customWidth="1"/>
    <col min="9" max="9" width="13.75390625" style="32" customWidth="1"/>
    <col min="10" max="10" width="11.25390625" style="11" customWidth="1"/>
    <col min="11" max="11" width="12.375" style="11" customWidth="1"/>
    <col min="12" max="12" width="10.75390625" style="6" customWidth="1"/>
    <col min="13" max="13" width="9.625" style="29" customWidth="1"/>
    <col min="14" max="14" width="11.75390625" style="32" customWidth="1"/>
    <col min="15" max="15" width="12.125" style="11" customWidth="1"/>
    <col min="16" max="16" width="12.625" style="11" customWidth="1"/>
    <col min="17" max="17" width="9.00390625" style="6" customWidth="1"/>
    <col min="18" max="18" width="9.625" style="11" customWidth="1"/>
    <col min="19" max="19" width="12.375" style="6" customWidth="1"/>
    <col min="20" max="20" width="10.125" style="11" customWidth="1"/>
    <col min="21" max="21" width="12.375" style="33" customWidth="1"/>
    <col min="22" max="22" width="10.125" style="6" customWidth="1"/>
    <col min="23" max="23" width="10.125" style="9" customWidth="1"/>
    <col min="24" max="24" width="11.875" style="32" customWidth="1"/>
    <col min="25" max="25" width="12.00390625" style="11" customWidth="1"/>
    <col min="26" max="26" width="15.125" style="11" customWidth="1"/>
    <col min="27" max="27" width="9.125" style="9" customWidth="1"/>
    <col min="28" max="28" width="9.125" style="11" customWidth="1"/>
    <col min="29" max="29" width="11.25390625" style="11" customWidth="1"/>
    <col min="30" max="30" width="15.00390625" style="11" customWidth="1"/>
    <col min="31" max="31" width="12.75390625" style="11" customWidth="1"/>
    <col min="32" max="32" width="11.75390625" style="9" customWidth="1"/>
    <col min="33" max="34" width="10.875" style="32" customWidth="1"/>
    <col min="35" max="35" width="14.625" style="34" customWidth="1"/>
    <col min="36" max="36" width="10.625" style="11" customWidth="1"/>
    <col min="37" max="37" width="8.625" style="11" customWidth="1"/>
    <col min="38" max="39" width="9.125" style="11" customWidth="1"/>
    <col min="40" max="40" width="9.125" style="32" customWidth="1"/>
    <col min="41" max="41" width="14.875" style="11" customWidth="1"/>
    <col min="42" max="42" width="8.875" style="11" customWidth="1"/>
    <col min="43" max="43" width="9.125" style="29" customWidth="1"/>
    <col min="44" max="44" width="15.00390625" style="11" customWidth="1"/>
    <col min="45" max="45" width="9.625" style="6" customWidth="1"/>
    <col min="46" max="46" width="9.375" style="11" customWidth="1"/>
    <col min="47" max="47" width="11.00390625" style="11" customWidth="1"/>
    <col min="48" max="48" width="9.75390625" style="6" customWidth="1"/>
    <col min="49" max="49" width="9.25390625" style="32" customWidth="1"/>
    <col min="50" max="50" width="13.125" style="11" customWidth="1"/>
    <col min="51" max="51" width="10.25390625" style="6" customWidth="1"/>
    <col min="52" max="52" width="11.00390625" style="32" customWidth="1"/>
    <col min="53" max="53" width="12.125" style="11" customWidth="1"/>
    <col min="54" max="54" width="11.625" style="6" customWidth="1"/>
    <col min="55" max="16384" width="9.125" style="11" customWidth="1"/>
  </cols>
  <sheetData>
    <row r="1" spans="1:54" s="1" customFormat="1" ht="57" customHeight="1">
      <c r="A1" s="86" t="s">
        <v>81</v>
      </c>
      <c r="B1" s="86"/>
      <c r="C1" s="86"/>
      <c r="D1" s="86"/>
      <c r="E1" s="86"/>
      <c r="F1" s="86"/>
      <c r="G1" s="86"/>
      <c r="H1" s="86"/>
      <c r="I1" s="86"/>
      <c r="L1" s="6"/>
      <c r="M1" s="2"/>
      <c r="N1" s="4"/>
      <c r="Q1" s="3"/>
      <c r="S1" s="3"/>
      <c r="U1" s="7"/>
      <c r="V1" s="3"/>
      <c r="W1" s="8"/>
      <c r="X1" s="4"/>
      <c r="AA1" s="8"/>
      <c r="AF1" s="9"/>
      <c r="AG1" s="4"/>
      <c r="AH1" s="4"/>
      <c r="AI1" s="10"/>
      <c r="AN1" s="4"/>
      <c r="AQ1" s="2"/>
      <c r="AS1" s="3"/>
      <c r="AV1" s="3"/>
      <c r="AW1" s="4"/>
      <c r="AY1" s="3"/>
      <c r="AZ1" s="4"/>
      <c r="BA1" s="11"/>
      <c r="BB1" s="3"/>
    </row>
    <row r="2" spans="1:55" s="12" customFormat="1" ht="49.5" customHeight="1">
      <c r="A2" s="84" t="s">
        <v>0</v>
      </c>
      <c r="B2" s="84" t="s">
        <v>1</v>
      </c>
      <c r="C2" s="84" t="s">
        <v>2</v>
      </c>
      <c r="D2" s="84" t="s">
        <v>82</v>
      </c>
      <c r="E2" s="84"/>
      <c r="F2" s="84"/>
      <c r="G2" s="84"/>
      <c r="H2" s="84"/>
      <c r="I2" s="84"/>
      <c r="J2" s="84" t="s">
        <v>13</v>
      </c>
      <c r="K2" s="84"/>
      <c r="L2" s="84"/>
      <c r="M2" s="84"/>
      <c r="N2" s="84"/>
      <c r="O2" s="90" t="s">
        <v>14</v>
      </c>
      <c r="P2" s="90"/>
      <c r="Q2" s="90"/>
      <c r="R2" s="90"/>
      <c r="S2" s="90"/>
      <c r="T2" s="84" t="s">
        <v>15</v>
      </c>
      <c r="U2" s="84"/>
      <c r="V2" s="84"/>
      <c r="W2" s="84"/>
      <c r="X2" s="84"/>
      <c r="Y2" s="87" t="s">
        <v>78</v>
      </c>
      <c r="Z2" s="88"/>
      <c r="AA2" s="88"/>
      <c r="AB2" s="88"/>
      <c r="AC2" s="89"/>
      <c r="AD2" s="87" t="s">
        <v>17</v>
      </c>
      <c r="AE2" s="88"/>
      <c r="AF2" s="88"/>
      <c r="AG2" s="88"/>
      <c r="AH2" s="89"/>
      <c r="AI2" s="90" t="s">
        <v>18</v>
      </c>
      <c r="AJ2" s="90"/>
      <c r="AK2" s="90"/>
      <c r="AL2" s="91" t="s">
        <v>36</v>
      </c>
      <c r="AM2" s="91"/>
      <c r="AN2" s="92"/>
      <c r="AO2" s="90" t="s">
        <v>19</v>
      </c>
      <c r="AP2" s="90"/>
      <c r="AQ2" s="90"/>
      <c r="AR2" s="93" t="s">
        <v>20</v>
      </c>
      <c r="AS2" s="91"/>
      <c r="AT2" s="92"/>
      <c r="AU2" s="93" t="s">
        <v>21</v>
      </c>
      <c r="AV2" s="91"/>
      <c r="AW2" s="92"/>
      <c r="AX2" s="90" t="s">
        <v>22</v>
      </c>
      <c r="AY2" s="90"/>
      <c r="AZ2" s="90"/>
      <c r="BA2" s="90" t="s">
        <v>23</v>
      </c>
      <c r="BB2" s="90"/>
      <c r="BC2" s="90"/>
    </row>
    <row r="3" spans="1:55" s="12" customFormat="1" ht="168.75">
      <c r="A3" s="84"/>
      <c r="B3" s="84"/>
      <c r="C3" s="84"/>
      <c r="D3" s="42" t="s">
        <v>75</v>
      </c>
      <c r="E3" s="46" t="s">
        <v>76</v>
      </c>
      <c r="F3" s="43" t="s">
        <v>24</v>
      </c>
      <c r="G3" s="44" t="s">
        <v>3</v>
      </c>
      <c r="H3" s="45" t="s">
        <v>4</v>
      </c>
      <c r="I3" s="43" t="s">
        <v>60</v>
      </c>
      <c r="J3" s="43" t="s">
        <v>25</v>
      </c>
      <c r="K3" s="43" t="s">
        <v>26</v>
      </c>
      <c r="L3" s="44" t="s">
        <v>3</v>
      </c>
      <c r="M3" s="45" t="s">
        <v>4</v>
      </c>
      <c r="N3" s="43" t="s">
        <v>60</v>
      </c>
      <c r="O3" s="43" t="s">
        <v>27</v>
      </c>
      <c r="P3" s="43" t="s">
        <v>28</v>
      </c>
      <c r="Q3" s="44" t="s">
        <v>3</v>
      </c>
      <c r="R3" s="43" t="s">
        <v>4</v>
      </c>
      <c r="S3" s="43" t="s">
        <v>60</v>
      </c>
      <c r="T3" s="43" t="s">
        <v>65</v>
      </c>
      <c r="U3" s="43" t="s">
        <v>77</v>
      </c>
      <c r="V3" s="44" t="s">
        <v>3</v>
      </c>
      <c r="W3" s="43" t="s">
        <v>4</v>
      </c>
      <c r="X3" s="43" t="s">
        <v>60</v>
      </c>
      <c r="Y3" s="42" t="s">
        <v>79</v>
      </c>
      <c r="Z3" s="42" t="s">
        <v>80</v>
      </c>
      <c r="AA3" s="47" t="s">
        <v>3</v>
      </c>
      <c r="AB3" s="43" t="s">
        <v>4</v>
      </c>
      <c r="AC3" s="43" t="s">
        <v>60</v>
      </c>
      <c r="AD3" s="42" t="s">
        <v>34</v>
      </c>
      <c r="AE3" s="42" t="s">
        <v>33</v>
      </c>
      <c r="AF3" s="47" t="s">
        <v>3</v>
      </c>
      <c r="AG3" s="43" t="s">
        <v>4</v>
      </c>
      <c r="AH3" s="43" t="s">
        <v>60</v>
      </c>
      <c r="AI3" s="48" t="s">
        <v>35</v>
      </c>
      <c r="AJ3" s="43" t="s">
        <v>4</v>
      </c>
      <c r="AK3" s="43" t="s">
        <v>60</v>
      </c>
      <c r="AL3" s="48" t="s">
        <v>37</v>
      </c>
      <c r="AM3" s="43" t="s">
        <v>4</v>
      </c>
      <c r="AN3" s="43" t="s">
        <v>60</v>
      </c>
      <c r="AO3" s="48" t="s">
        <v>39</v>
      </c>
      <c r="AP3" s="43" t="s">
        <v>4</v>
      </c>
      <c r="AQ3" s="43" t="s">
        <v>60</v>
      </c>
      <c r="AR3" s="48" t="s">
        <v>38</v>
      </c>
      <c r="AS3" s="43" t="s">
        <v>4</v>
      </c>
      <c r="AT3" s="43" t="s">
        <v>60</v>
      </c>
      <c r="AU3" s="48" t="s">
        <v>40</v>
      </c>
      <c r="AV3" s="43" t="s">
        <v>4</v>
      </c>
      <c r="AW3" s="43" t="s">
        <v>60</v>
      </c>
      <c r="AX3" s="48" t="s">
        <v>41</v>
      </c>
      <c r="AY3" s="43" t="s">
        <v>4</v>
      </c>
      <c r="AZ3" s="43" t="s">
        <v>60</v>
      </c>
      <c r="BA3" s="48" t="s">
        <v>42</v>
      </c>
      <c r="BB3" s="43" t="s">
        <v>4</v>
      </c>
      <c r="BC3" s="43" t="s">
        <v>60</v>
      </c>
    </row>
    <row r="4" spans="1:55" ht="24.75" customHeight="1">
      <c r="A4" s="13" t="s">
        <v>6</v>
      </c>
      <c r="B4" s="14">
        <f aca="true" t="shared" si="0" ref="B4:B9">I4+N4+S4+X4+AC4+AH4+AK4+AN4+AQ4+AT4+AW4+AZ4+BC4</f>
        <v>15</v>
      </c>
      <c r="C4" s="14">
        <f aca="true" t="shared" si="1" ref="C4:C9">RANK(B4,B$4:B$9)</f>
        <v>6</v>
      </c>
      <c r="D4" s="15">
        <v>109385.7</v>
      </c>
      <c r="E4" s="16">
        <v>0</v>
      </c>
      <c r="F4" s="15">
        <v>109385.7</v>
      </c>
      <c r="G4" s="17">
        <f aca="true" t="shared" si="2" ref="G4:G9">(D4+E4)/(F4)</f>
        <v>1</v>
      </c>
      <c r="H4" s="28">
        <f aca="true" t="shared" si="3" ref="H4:H9">G4</f>
        <v>1</v>
      </c>
      <c r="I4" s="20">
        <f aca="true" t="shared" si="4" ref="I4:I9">IF(AND(H4&lt;0.1),-1,IF(OR(AND(H4&gt;=0.1,H4&lt;=0.6),AND(H4&gt;0.6,)),2,5))</f>
        <v>5</v>
      </c>
      <c r="J4" s="15">
        <v>122</v>
      </c>
      <c r="K4" s="21">
        <v>2</v>
      </c>
      <c r="L4" s="19">
        <f aca="true" t="shared" si="5" ref="L4:L9">J4/(K4*12)</f>
        <v>5.083333333333333</v>
      </c>
      <c r="M4" s="28">
        <f aca="true" t="shared" si="6" ref="M4:M9">L4</f>
        <v>5.083333333333333</v>
      </c>
      <c r="N4" s="20">
        <f aca="true" t="shared" si="7" ref="N4:N9">IF(AND(M4&gt;4),0,IF(OR(AND(M4&gt;=2,M4&lt;=4),AND(M4&lt;2,)),1,2))</f>
        <v>0</v>
      </c>
      <c r="O4" s="16">
        <f>455+192</f>
        <v>647</v>
      </c>
      <c r="P4" s="22">
        <f>724.2+192.1</f>
        <v>916.3000000000001</v>
      </c>
      <c r="Q4" s="19">
        <f>1-(O4/P4)</f>
        <v>0.2938993779329915</v>
      </c>
      <c r="R4" s="28">
        <f aca="true" t="shared" si="8" ref="R4:R9">Q4</f>
        <v>0.2938993779329915</v>
      </c>
      <c r="S4" s="20">
        <f aca="true" t="shared" si="9" ref="S4:S9">IF(AND(R4&gt;0.1),-1,IF(OR(AND(R4&gt;=0.1),AND(R4&lt;0.05,)),1,3))</f>
        <v>-1</v>
      </c>
      <c r="T4" s="15">
        <f>1+52.25+34</f>
        <v>87.25</v>
      </c>
      <c r="U4" s="15">
        <f>1+52.75+12</f>
        <v>65.75</v>
      </c>
      <c r="V4" s="19">
        <f aca="true" t="shared" si="10" ref="V4:V9">T4/U4</f>
        <v>1.326996197718631</v>
      </c>
      <c r="W4" s="28">
        <f aca="true" t="shared" si="11" ref="W4:W9">V4</f>
        <v>1.326996197718631</v>
      </c>
      <c r="X4" s="36">
        <f aca="true" t="shared" si="12" ref="X4:X9">IF(AND(W4&gt;0.9),5,IF(OR(AND(W4&lt;=0.9),),0))</f>
        <v>5</v>
      </c>
      <c r="Y4" s="27">
        <v>107558.5</v>
      </c>
      <c r="Z4" s="15">
        <f aca="true" t="shared" si="13" ref="Z4:Z9">D4</f>
        <v>109385.7</v>
      </c>
      <c r="AA4" s="24">
        <f aca="true" t="shared" si="14" ref="AA4:AA9">Y4/Z4</f>
        <v>0.9832958055760488</v>
      </c>
      <c r="AB4" s="31">
        <f aca="true" t="shared" si="15" ref="AB4:AB9">AA4</f>
        <v>0.9832958055760488</v>
      </c>
      <c r="AC4" s="20">
        <f aca="true" t="shared" si="16" ref="AC4:AC9">IF(AND(AB4&gt;0.95),5,IF(OR(AND(AB4&lt;=0.95),),0))</f>
        <v>5</v>
      </c>
      <c r="AD4" s="25">
        <v>59506.8</v>
      </c>
      <c r="AE4" s="25">
        <v>60924.4</v>
      </c>
      <c r="AF4" s="24">
        <f aca="true" t="shared" si="17" ref="AF4:AF9">AD4/AE4</f>
        <v>0.9767318184504075</v>
      </c>
      <c r="AG4" s="31">
        <f aca="true" t="shared" si="18" ref="AG4:AG9">AF4</f>
        <v>0.9767318184504075</v>
      </c>
      <c r="AH4" s="20">
        <f aca="true" t="shared" si="19" ref="AH4:AH9">IF(AND(AG4&gt;0.9),3,IF(OR(AND(AG4&lt;=0.9),),0))</f>
        <v>3</v>
      </c>
      <c r="AI4" s="26">
        <v>3</v>
      </c>
      <c r="AJ4" s="18" t="s">
        <v>5</v>
      </c>
      <c r="AK4" s="20">
        <f aca="true" t="shared" si="20" ref="AK4:AK9">IF(AI4&lt;=0,3,0)</f>
        <v>0</v>
      </c>
      <c r="AL4" s="26">
        <v>1</v>
      </c>
      <c r="AM4" s="18" t="s">
        <v>5</v>
      </c>
      <c r="AN4" s="20">
        <f aca="true" t="shared" si="21" ref="AN4:AN9">IF(AL4&lt;=0,0,-1)</f>
        <v>-1</v>
      </c>
      <c r="AO4" s="26">
        <v>0</v>
      </c>
      <c r="AP4" s="18" t="s">
        <v>5</v>
      </c>
      <c r="AQ4" s="20">
        <f aca="true" t="shared" si="22" ref="AQ4:AQ9">IF(AO4&lt;=0,0,-1)</f>
        <v>0</v>
      </c>
      <c r="AR4" s="26">
        <v>0</v>
      </c>
      <c r="AS4" s="18" t="s">
        <v>5</v>
      </c>
      <c r="AT4" s="20">
        <f aca="true" t="shared" si="23" ref="AT4:AT9">IF(AR4&lt;=0,0,-1)</f>
        <v>0</v>
      </c>
      <c r="AU4" s="26">
        <v>15</v>
      </c>
      <c r="AV4" s="18" t="s">
        <v>5</v>
      </c>
      <c r="AW4" s="20">
        <f aca="true" t="shared" si="24" ref="AW4:AW9">IF(AU4&lt;=0,0,-1)</f>
        <v>-1</v>
      </c>
      <c r="AX4" s="26">
        <v>0</v>
      </c>
      <c r="AY4" s="18" t="s">
        <v>5</v>
      </c>
      <c r="AZ4" s="20">
        <f aca="true" t="shared" si="25" ref="AZ4:AZ9">IF(AX4&lt;=0,0,-1)</f>
        <v>0</v>
      </c>
      <c r="BA4" s="26">
        <v>0</v>
      </c>
      <c r="BB4" s="18" t="s">
        <v>5</v>
      </c>
      <c r="BC4" s="20">
        <f aca="true" t="shared" si="26" ref="BC4:BC9">IF(BA4&lt;=0,0,-1)</f>
        <v>0</v>
      </c>
    </row>
    <row r="5" spans="1:55" ht="24.75" customHeight="1">
      <c r="A5" s="13" t="s">
        <v>7</v>
      </c>
      <c r="B5" s="14">
        <f t="shared" si="0"/>
        <v>18</v>
      </c>
      <c r="C5" s="14">
        <f t="shared" si="1"/>
        <v>5</v>
      </c>
      <c r="D5" s="15">
        <v>298315.7</v>
      </c>
      <c r="E5" s="16">
        <v>0</v>
      </c>
      <c r="F5" s="15">
        <v>298315.7</v>
      </c>
      <c r="G5" s="17">
        <f t="shared" si="2"/>
        <v>1</v>
      </c>
      <c r="H5" s="28">
        <f t="shared" si="3"/>
        <v>1</v>
      </c>
      <c r="I5" s="20">
        <f t="shared" si="4"/>
        <v>5</v>
      </c>
      <c r="J5" s="15">
        <v>1654</v>
      </c>
      <c r="K5" s="21">
        <f>13+10+2+1+1</f>
        <v>27</v>
      </c>
      <c r="L5" s="19">
        <f t="shared" si="5"/>
        <v>5.104938271604938</v>
      </c>
      <c r="M5" s="28">
        <f t="shared" si="6"/>
        <v>5.104938271604938</v>
      </c>
      <c r="N5" s="20">
        <f t="shared" si="7"/>
        <v>0</v>
      </c>
      <c r="O5" s="16">
        <v>29571.5</v>
      </c>
      <c r="P5" s="22">
        <v>29881.9</v>
      </c>
      <c r="Q5" s="19">
        <f>1-(O5/P5)</f>
        <v>0.010387559024024662</v>
      </c>
      <c r="R5" s="28">
        <f t="shared" si="8"/>
        <v>0.010387559024024662</v>
      </c>
      <c r="S5" s="20">
        <f t="shared" si="9"/>
        <v>3</v>
      </c>
      <c r="T5" s="15">
        <f>70+2590+2298+45.5+3</f>
        <v>5006.5</v>
      </c>
      <c r="U5" s="15">
        <f>79+2649+2532+45.5+3</f>
        <v>5308.5</v>
      </c>
      <c r="V5" s="19">
        <f t="shared" si="10"/>
        <v>0.943110106433079</v>
      </c>
      <c r="W5" s="28">
        <f t="shared" si="11"/>
        <v>0.943110106433079</v>
      </c>
      <c r="X5" s="36">
        <f t="shared" si="12"/>
        <v>5</v>
      </c>
      <c r="Y5" s="23">
        <v>298052.2</v>
      </c>
      <c r="Z5" s="15">
        <f t="shared" si="13"/>
        <v>298315.7</v>
      </c>
      <c r="AA5" s="24">
        <f t="shared" si="14"/>
        <v>0.9991167075685256</v>
      </c>
      <c r="AB5" s="31">
        <f t="shared" si="15"/>
        <v>0.9991167075685256</v>
      </c>
      <c r="AC5" s="20">
        <f t="shared" si="16"/>
        <v>5</v>
      </c>
      <c r="AD5" s="25">
        <v>190136.2</v>
      </c>
      <c r="AE5" s="25">
        <v>190219.5</v>
      </c>
      <c r="AF5" s="24">
        <f t="shared" si="17"/>
        <v>0.9995620848546023</v>
      </c>
      <c r="AG5" s="31">
        <f t="shared" si="18"/>
        <v>0.9995620848546023</v>
      </c>
      <c r="AH5" s="20">
        <f t="shared" si="19"/>
        <v>3</v>
      </c>
      <c r="AI5" s="26">
        <v>35</v>
      </c>
      <c r="AJ5" s="18" t="s">
        <v>5</v>
      </c>
      <c r="AK5" s="20">
        <f t="shared" si="20"/>
        <v>0</v>
      </c>
      <c r="AL5" s="26">
        <v>1</v>
      </c>
      <c r="AM5" s="18" t="s">
        <v>5</v>
      </c>
      <c r="AN5" s="20">
        <f t="shared" si="21"/>
        <v>-1</v>
      </c>
      <c r="AO5" s="26">
        <v>0</v>
      </c>
      <c r="AP5" s="18" t="s">
        <v>5</v>
      </c>
      <c r="AQ5" s="20">
        <f t="shared" si="22"/>
        <v>0</v>
      </c>
      <c r="AR5" s="26">
        <v>1</v>
      </c>
      <c r="AS5" s="18" t="s">
        <v>5</v>
      </c>
      <c r="AT5" s="20">
        <f t="shared" si="23"/>
        <v>-1</v>
      </c>
      <c r="AU5" s="26">
        <v>5</v>
      </c>
      <c r="AV5" s="18" t="s">
        <v>5</v>
      </c>
      <c r="AW5" s="20">
        <f t="shared" si="24"/>
        <v>-1</v>
      </c>
      <c r="AX5" s="26">
        <v>0</v>
      </c>
      <c r="AY5" s="18" t="s">
        <v>5</v>
      </c>
      <c r="AZ5" s="20">
        <f t="shared" si="25"/>
        <v>0</v>
      </c>
      <c r="BA5" s="26">
        <v>0</v>
      </c>
      <c r="BB5" s="18" t="s">
        <v>5</v>
      </c>
      <c r="BC5" s="20">
        <f t="shared" si="26"/>
        <v>0</v>
      </c>
    </row>
    <row r="6" spans="1:55" ht="24.75" customHeight="1">
      <c r="A6" s="13" t="s">
        <v>8</v>
      </c>
      <c r="B6" s="14">
        <f t="shared" si="0"/>
        <v>21</v>
      </c>
      <c r="C6" s="14">
        <f t="shared" si="1"/>
        <v>4</v>
      </c>
      <c r="D6" s="15">
        <v>49525.2</v>
      </c>
      <c r="E6" s="16">
        <v>0</v>
      </c>
      <c r="F6" s="15">
        <v>49525.2</v>
      </c>
      <c r="G6" s="17">
        <f t="shared" si="2"/>
        <v>1</v>
      </c>
      <c r="H6" s="28">
        <f t="shared" si="3"/>
        <v>1</v>
      </c>
      <c r="I6" s="20">
        <f t="shared" si="4"/>
        <v>5</v>
      </c>
      <c r="J6" s="15">
        <v>208</v>
      </c>
      <c r="K6" s="21">
        <v>7</v>
      </c>
      <c r="L6" s="19">
        <f t="shared" si="5"/>
        <v>2.4761904761904763</v>
      </c>
      <c r="M6" s="28">
        <f t="shared" si="6"/>
        <v>2.4761904761904763</v>
      </c>
      <c r="N6" s="20">
        <f t="shared" si="7"/>
        <v>1</v>
      </c>
      <c r="O6" s="16">
        <v>3839.2</v>
      </c>
      <c r="P6" s="22">
        <v>3857.3</v>
      </c>
      <c r="Q6" s="19">
        <f>1-(O6/P6)</f>
        <v>0.004692401420682946</v>
      </c>
      <c r="R6" s="28">
        <f t="shared" si="8"/>
        <v>0.004692401420682946</v>
      </c>
      <c r="S6" s="20">
        <f t="shared" si="9"/>
        <v>3</v>
      </c>
      <c r="T6" s="15">
        <f>200.4+3.5+358+1875+7+4+54.75</f>
        <v>2502.65</v>
      </c>
      <c r="U6" s="15">
        <f>200+3.5+350+1875+7+4+54.75</f>
        <v>2494.25</v>
      </c>
      <c r="V6" s="19">
        <f t="shared" si="10"/>
        <v>1.0033677458153754</v>
      </c>
      <c r="W6" s="28">
        <f t="shared" si="11"/>
        <v>1.0033677458153754</v>
      </c>
      <c r="X6" s="36">
        <f t="shared" si="12"/>
        <v>5</v>
      </c>
      <c r="Y6" s="27">
        <v>49511.8</v>
      </c>
      <c r="Z6" s="15">
        <f t="shared" si="13"/>
        <v>49525.2</v>
      </c>
      <c r="AA6" s="24">
        <f t="shared" si="14"/>
        <v>0.9997294306736774</v>
      </c>
      <c r="AB6" s="31">
        <f t="shared" si="15"/>
        <v>0.9997294306736774</v>
      </c>
      <c r="AC6" s="20">
        <f t="shared" si="16"/>
        <v>5</v>
      </c>
      <c r="AD6" s="25">
        <v>9589.8</v>
      </c>
      <c r="AE6" s="25">
        <v>9589.8</v>
      </c>
      <c r="AF6" s="24">
        <f t="shared" si="17"/>
        <v>1</v>
      </c>
      <c r="AG6" s="31">
        <f t="shared" si="18"/>
        <v>1</v>
      </c>
      <c r="AH6" s="20">
        <f t="shared" si="19"/>
        <v>3</v>
      </c>
      <c r="AI6" s="26">
        <v>5</v>
      </c>
      <c r="AJ6" s="18" t="s">
        <v>5</v>
      </c>
      <c r="AK6" s="20">
        <f t="shared" si="20"/>
        <v>0</v>
      </c>
      <c r="AL6" s="26">
        <v>0</v>
      </c>
      <c r="AM6" s="18" t="s">
        <v>5</v>
      </c>
      <c r="AN6" s="20">
        <f t="shared" si="21"/>
        <v>0</v>
      </c>
      <c r="AO6" s="26">
        <v>0</v>
      </c>
      <c r="AP6" s="18" t="s">
        <v>5</v>
      </c>
      <c r="AQ6" s="20">
        <f t="shared" si="22"/>
        <v>0</v>
      </c>
      <c r="AR6" s="26">
        <v>1</v>
      </c>
      <c r="AS6" s="18" t="s">
        <v>5</v>
      </c>
      <c r="AT6" s="20">
        <f t="shared" si="23"/>
        <v>-1</v>
      </c>
      <c r="AU6" s="26">
        <v>0</v>
      </c>
      <c r="AV6" s="18" t="s">
        <v>5</v>
      </c>
      <c r="AW6" s="20">
        <f t="shared" si="24"/>
        <v>0</v>
      </c>
      <c r="AX6" s="26">
        <v>0</v>
      </c>
      <c r="AY6" s="18" t="s">
        <v>5</v>
      </c>
      <c r="AZ6" s="20">
        <f t="shared" si="25"/>
        <v>0</v>
      </c>
      <c r="BA6" s="26">
        <v>0</v>
      </c>
      <c r="BB6" s="18" t="s">
        <v>5</v>
      </c>
      <c r="BC6" s="20">
        <f t="shared" si="26"/>
        <v>0</v>
      </c>
    </row>
    <row r="7" spans="1:55" ht="24.75" customHeight="1">
      <c r="A7" s="13" t="s">
        <v>9</v>
      </c>
      <c r="B7" s="14">
        <f t="shared" si="0"/>
        <v>26</v>
      </c>
      <c r="C7" s="14">
        <f t="shared" si="1"/>
        <v>1</v>
      </c>
      <c r="D7" s="15">
        <v>55364.09</v>
      </c>
      <c r="E7" s="16">
        <v>0</v>
      </c>
      <c r="F7" s="15">
        <v>55364.09</v>
      </c>
      <c r="G7" s="17">
        <f t="shared" si="2"/>
        <v>1</v>
      </c>
      <c r="H7" s="28">
        <f t="shared" si="3"/>
        <v>1</v>
      </c>
      <c r="I7" s="20">
        <f t="shared" si="4"/>
        <v>5</v>
      </c>
      <c r="J7" s="15">
        <v>19</v>
      </c>
      <c r="K7" s="21">
        <v>10</v>
      </c>
      <c r="L7" s="19">
        <f t="shared" si="5"/>
        <v>0.15833333333333333</v>
      </c>
      <c r="M7" s="28">
        <f t="shared" si="6"/>
        <v>0.15833333333333333</v>
      </c>
      <c r="N7" s="20">
        <f t="shared" si="7"/>
        <v>2</v>
      </c>
      <c r="O7" s="27">
        <v>122.5</v>
      </c>
      <c r="P7" s="35">
        <v>123</v>
      </c>
      <c r="Q7" s="19">
        <v>0</v>
      </c>
      <c r="R7" s="28">
        <f t="shared" si="8"/>
        <v>0</v>
      </c>
      <c r="S7" s="20">
        <f t="shared" si="9"/>
        <v>3</v>
      </c>
      <c r="T7" s="27">
        <v>16</v>
      </c>
      <c r="U7" s="35">
        <v>16</v>
      </c>
      <c r="V7" s="19">
        <f t="shared" si="10"/>
        <v>1</v>
      </c>
      <c r="W7" s="28">
        <f t="shared" si="11"/>
        <v>1</v>
      </c>
      <c r="X7" s="36">
        <f t="shared" si="12"/>
        <v>5</v>
      </c>
      <c r="Y7" s="27">
        <v>55350.4</v>
      </c>
      <c r="Z7" s="15">
        <f t="shared" si="13"/>
        <v>55364.09</v>
      </c>
      <c r="AA7" s="24">
        <f t="shared" si="14"/>
        <v>0.9997527278060563</v>
      </c>
      <c r="AB7" s="31">
        <f t="shared" si="15"/>
        <v>0.9997527278060563</v>
      </c>
      <c r="AC7" s="20">
        <f t="shared" si="16"/>
        <v>5</v>
      </c>
      <c r="AD7" s="25">
        <v>13296</v>
      </c>
      <c r="AE7" s="25">
        <v>13298</v>
      </c>
      <c r="AF7" s="24">
        <f t="shared" si="17"/>
        <v>0.9998496014438262</v>
      </c>
      <c r="AG7" s="31">
        <f t="shared" si="18"/>
        <v>0.9998496014438262</v>
      </c>
      <c r="AH7" s="20">
        <f t="shared" si="19"/>
        <v>3</v>
      </c>
      <c r="AI7" s="26">
        <v>0</v>
      </c>
      <c r="AJ7" s="18" t="s">
        <v>5</v>
      </c>
      <c r="AK7" s="20">
        <f t="shared" si="20"/>
        <v>3</v>
      </c>
      <c r="AL7" s="26">
        <v>0</v>
      </c>
      <c r="AM7" s="18" t="s">
        <v>5</v>
      </c>
      <c r="AN7" s="20">
        <f t="shared" si="21"/>
        <v>0</v>
      </c>
      <c r="AO7" s="26">
        <v>0</v>
      </c>
      <c r="AP7" s="18" t="s">
        <v>5</v>
      </c>
      <c r="AQ7" s="20">
        <f t="shared" si="22"/>
        <v>0</v>
      </c>
      <c r="AR7" s="26">
        <v>0</v>
      </c>
      <c r="AS7" s="18" t="s">
        <v>5</v>
      </c>
      <c r="AT7" s="20">
        <f t="shared" si="23"/>
        <v>0</v>
      </c>
      <c r="AU7" s="26">
        <v>0</v>
      </c>
      <c r="AV7" s="18" t="s">
        <v>5</v>
      </c>
      <c r="AW7" s="20">
        <f t="shared" si="24"/>
        <v>0</v>
      </c>
      <c r="AX7" s="60">
        <v>0</v>
      </c>
      <c r="AY7" s="18" t="s">
        <v>5</v>
      </c>
      <c r="AZ7" s="20">
        <f t="shared" si="25"/>
        <v>0</v>
      </c>
      <c r="BA7" s="60">
        <v>0</v>
      </c>
      <c r="BB7" s="18" t="s">
        <v>5</v>
      </c>
      <c r="BC7" s="20">
        <f t="shared" si="26"/>
        <v>0</v>
      </c>
    </row>
    <row r="8" spans="1:55" s="1" customFormat="1" ht="24.75" customHeight="1">
      <c r="A8" s="13" t="s">
        <v>10</v>
      </c>
      <c r="B8" s="14">
        <f t="shared" si="0"/>
        <v>22</v>
      </c>
      <c r="C8" s="14">
        <f t="shared" si="1"/>
        <v>3</v>
      </c>
      <c r="D8" s="15">
        <v>17302.1</v>
      </c>
      <c r="E8" s="16">
        <v>0</v>
      </c>
      <c r="F8" s="15">
        <v>17302.1</v>
      </c>
      <c r="G8" s="17">
        <f t="shared" si="2"/>
        <v>1</v>
      </c>
      <c r="H8" s="28">
        <f t="shared" si="3"/>
        <v>1</v>
      </c>
      <c r="I8" s="20">
        <f t="shared" si="4"/>
        <v>5</v>
      </c>
      <c r="J8" s="15">
        <v>32</v>
      </c>
      <c r="K8" s="21">
        <v>1</v>
      </c>
      <c r="L8" s="19">
        <f t="shared" si="5"/>
        <v>2.6666666666666665</v>
      </c>
      <c r="M8" s="28">
        <f t="shared" si="6"/>
        <v>2.6666666666666665</v>
      </c>
      <c r="N8" s="20">
        <f t="shared" si="7"/>
        <v>1</v>
      </c>
      <c r="O8" s="16">
        <v>6727.8</v>
      </c>
      <c r="P8" s="22">
        <f>6728.1+709.7</f>
        <v>7437.8</v>
      </c>
      <c r="Q8" s="24">
        <f>1-(O8/P8)</f>
        <v>0.0954583344537363</v>
      </c>
      <c r="R8" s="28">
        <f t="shared" si="8"/>
        <v>0.0954583344537363</v>
      </c>
      <c r="S8" s="83">
        <f t="shared" si="9"/>
        <v>3</v>
      </c>
      <c r="T8" s="27">
        <v>0.01</v>
      </c>
      <c r="U8" s="35">
        <v>0.01</v>
      </c>
      <c r="V8" s="19">
        <f t="shared" si="10"/>
        <v>1</v>
      </c>
      <c r="W8" s="28">
        <f t="shared" si="11"/>
        <v>1</v>
      </c>
      <c r="X8" s="36">
        <f t="shared" si="12"/>
        <v>5</v>
      </c>
      <c r="Y8" s="23">
        <v>17301.7</v>
      </c>
      <c r="Z8" s="15">
        <f t="shared" si="13"/>
        <v>17302.1</v>
      </c>
      <c r="AA8" s="24">
        <f t="shared" si="14"/>
        <v>0.9999768814190186</v>
      </c>
      <c r="AB8" s="31">
        <f t="shared" si="15"/>
        <v>0.9999768814190186</v>
      </c>
      <c r="AC8" s="20">
        <f t="shared" si="16"/>
        <v>5</v>
      </c>
      <c r="AD8" s="25">
        <v>11200</v>
      </c>
      <c r="AE8" s="25">
        <v>11200</v>
      </c>
      <c r="AF8" s="24">
        <f t="shared" si="17"/>
        <v>1</v>
      </c>
      <c r="AG8" s="31">
        <f t="shared" si="18"/>
        <v>1</v>
      </c>
      <c r="AH8" s="20">
        <f t="shared" si="19"/>
        <v>3</v>
      </c>
      <c r="AI8" s="26">
        <v>12</v>
      </c>
      <c r="AJ8" s="18" t="s">
        <v>5</v>
      </c>
      <c r="AK8" s="20">
        <f t="shared" si="20"/>
        <v>0</v>
      </c>
      <c r="AL8" s="26">
        <v>0</v>
      </c>
      <c r="AM8" s="18" t="s">
        <v>5</v>
      </c>
      <c r="AN8" s="20">
        <f t="shared" si="21"/>
        <v>0</v>
      </c>
      <c r="AO8" s="26">
        <v>0</v>
      </c>
      <c r="AP8" s="18" t="s">
        <v>5</v>
      </c>
      <c r="AQ8" s="20">
        <f t="shared" si="22"/>
        <v>0</v>
      </c>
      <c r="AR8" s="26">
        <v>0</v>
      </c>
      <c r="AS8" s="18" t="s">
        <v>5</v>
      </c>
      <c r="AT8" s="20">
        <f t="shared" si="23"/>
        <v>0</v>
      </c>
      <c r="AU8" s="26">
        <v>0</v>
      </c>
      <c r="AV8" s="18" t="s">
        <v>5</v>
      </c>
      <c r="AW8" s="20">
        <f t="shared" si="24"/>
        <v>0</v>
      </c>
      <c r="AX8" s="60">
        <v>0</v>
      </c>
      <c r="AY8" s="18" t="s">
        <v>5</v>
      </c>
      <c r="AZ8" s="20">
        <f t="shared" si="25"/>
        <v>0</v>
      </c>
      <c r="BA8" s="26">
        <v>0</v>
      </c>
      <c r="BB8" s="18" t="s">
        <v>5</v>
      </c>
      <c r="BC8" s="20">
        <f t="shared" si="26"/>
        <v>0</v>
      </c>
    </row>
    <row r="9" spans="1:55" s="1" customFormat="1" ht="24.75" customHeight="1">
      <c r="A9" s="13" t="s">
        <v>44</v>
      </c>
      <c r="B9" s="14">
        <f t="shared" si="0"/>
        <v>26</v>
      </c>
      <c r="C9" s="14">
        <f t="shared" si="1"/>
        <v>1</v>
      </c>
      <c r="D9" s="15">
        <v>0.0001</v>
      </c>
      <c r="E9" s="16">
        <v>0</v>
      </c>
      <c r="F9" s="15">
        <v>0.0001</v>
      </c>
      <c r="G9" s="17">
        <f t="shared" si="2"/>
        <v>1</v>
      </c>
      <c r="H9" s="28">
        <f t="shared" si="3"/>
        <v>1</v>
      </c>
      <c r="I9" s="20">
        <f t="shared" si="4"/>
        <v>5</v>
      </c>
      <c r="J9" s="15">
        <v>21</v>
      </c>
      <c r="K9" s="21">
        <v>1</v>
      </c>
      <c r="L9" s="19">
        <f t="shared" si="5"/>
        <v>1.75</v>
      </c>
      <c r="M9" s="28">
        <f t="shared" si="6"/>
        <v>1.75</v>
      </c>
      <c r="N9" s="20">
        <f t="shared" si="7"/>
        <v>2</v>
      </c>
      <c r="O9" s="16">
        <v>0.001</v>
      </c>
      <c r="P9" s="22">
        <v>0.001</v>
      </c>
      <c r="Q9" s="19">
        <f>1-(O9/P9)</f>
        <v>0</v>
      </c>
      <c r="R9" s="28">
        <f t="shared" si="8"/>
        <v>0</v>
      </c>
      <c r="S9" s="20">
        <f t="shared" si="9"/>
        <v>3</v>
      </c>
      <c r="T9" s="16">
        <v>7.25</v>
      </c>
      <c r="U9" s="82">
        <v>7.25</v>
      </c>
      <c r="V9" s="19">
        <f t="shared" si="10"/>
        <v>1</v>
      </c>
      <c r="W9" s="28">
        <f t="shared" si="11"/>
        <v>1</v>
      </c>
      <c r="X9" s="36">
        <f t="shared" si="12"/>
        <v>5</v>
      </c>
      <c r="Y9" s="27">
        <v>0.001</v>
      </c>
      <c r="Z9" s="15">
        <f t="shared" si="13"/>
        <v>0.0001</v>
      </c>
      <c r="AA9" s="24">
        <f t="shared" si="14"/>
        <v>10</v>
      </c>
      <c r="AB9" s="31">
        <f t="shared" si="15"/>
        <v>10</v>
      </c>
      <c r="AC9" s="20">
        <f t="shared" si="16"/>
        <v>5</v>
      </c>
      <c r="AD9" s="25">
        <v>0.01</v>
      </c>
      <c r="AE9" s="25">
        <v>0.01</v>
      </c>
      <c r="AF9" s="24">
        <f t="shared" si="17"/>
        <v>1</v>
      </c>
      <c r="AG9" s="31">
        <f t="shared" si="18"/>
        <v>1</v>
      </c>
      <c r="AH9" s="20">
        <f t="shared" si="19"/>
        <v>3</v>
      </c>
      <c r="AI9" s="26">
        <v>0</v>
      </c>
      <c r="AJ9" s="18" t="s">
        <v>5</v>
      </c>
      <c r="AK9" s="20">
        <f t="shared" si="20"/>
        <v>3</v>
      </c>
      <c r="AL9" s="26">
        <v>0</v>
      </c>
      <c r="AM9" s="18" t="s">
        <v>5</v>
      </c>
      <c r="AN9" s="20">
        <f t="shared" si="21"/>
        <v>0</v>
      </c>
      <c r="AO9" s="26">
        <v>0</v>
      </c>
      <c r="AP9" s="18" t="s">
        <v>5</v>
      </c>
      <c r="AQ9" s="20">
        <f t="shared" si="22"/>
        <v>0</v>
      </c>
      <c r="AR9" s="26">
        <v>0</v>
      </c>
      <c r="AS9" s="18" t="s">
        <v>5</v>
      </c>
      <c r="AT9" s="20">
        <f t="shared" si="23"/>
        <v>0</v>
      </c>
      <c r="AU9" s="26">
        <v>0</v>
      </c>
      <c r="AV9" s="18" t="s">
        <v>5</v>
      </c>
      <c r="AW9" s="20">
        <f t="shared" si="24"/>
        <v>0</v>
      </c>
      <c r="AX9" s="60">
        <v>0</v>
      </c>
      <c r="AY9" s="18" t="s">
        <v>5</v>
      </c>
      <c r="AZ9" s="20">
        <f t="shared" si="25"/>
        <v>0</v>
      </c>
      <c r="BA9" s="26">
        <v>0</v>
      </c>
      <c r="BB9" s="18" t="s">
        <v>5</v>
      </c>
      <c r="BC9" s="20">
        <f t="shared" si="26"/>
        <v>0</v>
      </c>
    </row>
    <row r="10" spans="30:34" ht="12.75">
      <c r="AD10" s="11">
        <v>0</v>
      </c>
      <c r="AE10" s="11">
        <v>0</v>
      </c>
      <c r="AF10" s="24"/>
      <c r="AG10" s="31"/>
      <c r="AH10" s="18"/>
    </row>
    <row r="11" ht="12.75">
      <c r="O11" s="68"/>
    </row>
    <row r="12" spans="1:15" ht="12.75">
      <c r="A12" s="11" t="s">
        <v>46</v>
      </c>
      <c r="O12" s="68"/>
    </row>
    <row r="13" ht="12.75">
      <c r="O13" s="68"/>
    </row>
    <row r="14" ht="12.75">
      <c r="AD14" s="32"/>
    </row>
    <row r="15" spans="30:33" ht="12.75">
      <c r="AD15" s="77"/>
      <c r="AE15" s="77"/>
      <c r="AF15" s="78"/>
      <c r="AG15" s="79"/>
    </row>
    <row r="16" spans="30:33" ht="12.75">
      <c r="AD16" s="80"/>
      <c r="AE16" s="81"/>
      <c r="AF16" s="81"/>
      <c r="AG16" s="79"/>
    </row>
    <row r="17" spans="30:33" ht="12.75">
      <c r="AD17" s="80"/>
      <c r="AE17" s="81"/>
      <c r="AF17" s="81"/>
      <c r="AG17" s="79"/>
    </row>
    <row r="18" spans="30:33" ht="12.75">
      <c r="AD18" s="80"/>
      <c r="AE18" s="81"/>
      <c r="AF18" s="81"/>
      <c r="AG18" s="79"/>
    </row>
    <row r="19" spans="30:33" ht="12.75">
      <c r="AD19" s="80"/>
      <c r="AE19" s="81"/>
      <c r="AF19" s="81"/>
      <c r="AG19" s="79"/>
    </row>
    <row r="20" spans="30:33" ht="12.75">
      <c r="AD20" s="80"/>
      <c r="AE20" s="81"/>
      <c r="AF20" s="81"/>
      <c r="AG20" s="79"/>
    </row>
    <row r="21" spans="30:33" ht="12.75">
      <c r="AD21" s="80"/>
      <c r="AE21" s="81"/>
      <c r="AF21" s="81"/>
      <c r="AG21" s="79"/>
    </row>
    <row r="22" spans="30:33" ht="12.75">
      <c r="AD22" s="77"/>
      <c r="AE22" s="77"/>
      <c r="AF22" s="78"/>
      <c r="AG22" s="79"/>
    </row>
  </sheetData>
  <sheetProtection/>
  <mergeCells count="17">
    <mergeCell ref="J2:N2"/>
    <mergeCell ref="O2:S2"/>
    <mergeCell ref="T2:X2"/>
    <mergeCell ref="Y2:AC2"/>
    <mergeCell ref="A1:I1"/>
    <mergeCell ref="A2:A3"/>
    <mergeCell ref="B2:B3"/>
    <mergeCell ref="C2:C3"/>
    <mergeCell ref="D2:I2"/>
    <mergeCell ref="AR2:AT2"/>
    <mergeCell ref="AU2:AW2"/>
    <mergeCell ref="AX2:AZ2"/>
    <mergeCell ref="BA2:BC2"/>
    <mergeCell ref="AD2:AH2"/>
    <mergeCell ref="AI2:AK2"/>
    <mergeCell ref="AL2:AN2"/>
    <mergeCell ref="AO2:AQ2"/>
  </mergeCells>
  <printOptions/>
  <pageMargins left="0.25" right="0.25" top="1" bottom="1" header="0.5" footer="0.5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predeina</dc:creator>
  <cp:keywords/>
  <dc:description/>
  <cp:lastModifiedBy>Царегородцева</cp:lastModifiedBy>
  <cp:lastPrinted>2016-03-10T07:37:36Z</cp:lastPrinted>
  <dcterms:created xsi:type="dcterms:W3CDTF">2011-03-22T13:00:54Z</dcterms:created>
  <dcterms:modified xsi:type="dcterms:W3CDTF">2016-04-19T06:55:38Z</dcterms:modified>
  <cp:category/>
  <cp:version/>
  <cp:contentType/>
  <cp:contentStatus/>
</cp:coreProperties>
</file>